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E:\CAMARA MUNICIPAL JP\MEDIÇÕES\BM 10\"/>
    </mc:Choice>
  </mc:AlternateContent>
  <xr:revisionPtr revIDLastSave="0" documentId="13_ncr:1_{0285221E-8AE6-4F82-AB21-C0B4E1788A14}" xr6:coauthVersionLast="47" xr6:coauthVersionMax="47" xr10:uidLastSave="{00000000-0000-0000-0000-000000000000}"/>
  <bookViews>
    <workbookView xWindow="-120" yWindow="-120" windowWidth="20730" windowHeight="11040" activeTab="1" xr2:uid="{09CB3EF6-4D0F-4C31-A21B-A70EC7293F6F}"/>
  </bookViews>
  <sheets>
    <sheet name="Planilha" sheetId="1" r:id="rId1"/>
    <sheet name="RESUMO MEM." sheetId="19" r:id="rId2"/>
    <sheet name="2.0" sheetId="14" r:id="rId3"/>
    <sheet name="3.0" sheetId="15" r:id="rId4"/>
    <sheet name="4.0" sheetId="16" r:id="rId5"/>
    <sheet name="5.0" sheetId="17" r:id="rId6"/>
    <sheet name="6.0" sheetId="12" r:id="rId7"/>
    <sheet name="24.0" sheetId="20" r:id="rId8"/>
  </sheets>
  <externalReferences>
    <externalReference r:id="rId9"/>
    <externalReference r:id="rId10"/>
  </externalReferences>
  <definedNames>
    <definedName name="_xlnm.Print_Area" localSheetId="2">'2.0'!$A$1:$E$30</definedName>
    <definedName name="_xlnm.Print_Area" localSheetId="7">'24.0'!$A$5:$E$57</definedName>
    <definedName name="_xlnm.Print_Area" localSheetId="3">'3.0'!$A$1:$E$23</definedName>
    <definedName name="_xlnm.Print_Area" localSheetId="4">'4.0'!$A$1:$E$282</definedName>
    <definedName name="_xlnm.Print_Area" localSheetId="5">'5.0'!$A$1:$E$159</definedName>
    <definedName name="_xlnm.Print_Area" localSheetId="6">'6.0'!$A$1:$E$43</definedName>
    <definedName name="_xlnm.Print_Area" localSheetId="0">Planilha!$A$1:$M$436</definedName>
    <definedName name="_xlnm.Print_Area" localSheetId="1">'RESUMO MEM.'!$A$1:$E$274</definedName>
    <definedName name="_xlnm.Print_Titles" localSheetId="0">Planilha!$1:$12</definedName>
  </definedNames>
  <calcPr calcId="181029"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435" i="1" l="1"/>
  <c r="M28" i="1"/>
  <c r="M16" i="1"/>
  <c r="K16" i="1"/>
  <c r="E222" i="19"/>
  <c r="E225" i="19"/>
  <c r="E223" i="19"/>
  <c r="E133" i="17"/>
  <c r="E134" i="17"/>
  <c r="E135" i="17"/>
  <c r="E136" i="17"/>
  <c r="E137" i="17"/>
  <c r="E138" i="17"/>
  <c r="E139" i="17"/>
  <c r="E143" i="17"/>
  <c r="E142" i="17"/>
  <c r="F401" i="1"/>
  <c r="G401" i="1"/>
  <c r="F402" i="1"/>
  <c r="G402" i="1"/>
  <c r="G397" i="1"/>
  <c r="G398" i="1"/>
  <c r="G399" i="1"/>
  <c r="G400" i="1"/>
  <c r="G403" i="1"/>
  <c r="G396" i="1"/>
  <c r="G62" i="1"/>
  <c r="G52" i="1"/>
  <c r="G47" i="1"/>
  <c r="G39" i="1"/>
  <c r="F37" i="1"/>
  <c r="G37" i="1"/>
  <c r="G35" i="1"/>
  <c r="G29" i="1"/>
  <c r="G80" i="1"/>
  <c r="F67" i="1"/>
  <c r="G67" i="1"/>
  <c r="F68" i="1"/>
  <c r="G68" i="1"/>
  <c r="F69" i="1"/>
  <c r="G69" i="1"/>
  <c r="G76" i="1"/>
  <c r="G77" i="1"/>
  <c r="G78" i="1"/>
  <c r="G74" i="1"/>
  <c r="G65" i="1"/>
  <c r="G64" i="1"/>
  <c r="G384" i="1"/>
  <c r="G391" i="1"/>
  <c r="G383" i="1"/>
  <c r="G408" i="1"/>
  <c r="G409" i="1"/>
  <c r="G410" i="1"/>
  <c r="G411" i="1"/>
  <c r="G407" i="1"/>
  <c r="G413" i="1"/>
  <c r="G414" i="1"/>
  <c r="G415" i="1"/>
  <c r="G416" i="1"/>
  <c r="G417" i="1"/>
  <c r="G418" i="1"/>
  <c r="G419" i="1"/>
  <c r="G420" i="1"/>
  <c r="G421" i="1"/>
  <c r="G422" i="1"/>
  <c r="G423" i="1"/>
  <c r="G412" i="1"/>
  <c r="G425" i="1"/>
  <c r="G426" i="1"/>
  <c r="G424" i="1"/>
  <c r="G382"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173" i="1"/>
  <c r="G202" i="1"/>
  <c r="G203" i="1"/>
  <c r="G204" i="1"/>
  <c r="G205" i="1"/>
  <c r="G206" i="1"/>
  <c r="G207" i="1"/>
  <c r="G208" i="1"/>
  <c r="G201" i="1"/>
  <c r="G210" i="1"/>
  <c r="G211" i="1"/>
  <c r="G212" i="1"/>
  <c r="G213" i="1"/>
  <c r="G214" i="1"/>
  <c r="G215" i="1"/>
  <c r="G216" i="1"/>
  <c r="G217" i="1"/>
  <c r="G218" i="1"/>
  <c r="G219" i="1"/>
  <c r="G220" i="1"/>
  <c r="G221" i="1"/>
  <c r="G222" i="1"/>
  <c r="G209" i="1"/>
  <c r="G224" i="1"/>
  <c r="G225" i="1"/>
  <c r="G226" i="1"/>
  <c r="G227" i="1"/>
  <c r="G228" i="1"/>
  <c r="G223" i="1"/>
  <c r="G172" i="1"/>
  <c r="G27" i="1"/>
  <c r="G26" i="1"/>
  <c r="G89" i="1"/>
  <c r="G90" i="1"/>
  <c r="G91" i="1"/>
  <c r="G88" i="1"/>
  <c r="G94" i="1"/>
  <c r="G95" i="1"/>
  <c r="G96" i="1"/>
  <c r="G97" i="1"/>
  <c r="G98" i="1"/>
  <c r="G99" i="1"/>
  <c r="G100" i="1"/>
  <c r="G101" i="1"/>
  <c r="G93" i="1"/>
  <c r="G103" i="1"/>
  <c r="G104" i="1"/>
  <c r="G105" i="1"/>
  <c r="G102" i="1"/>
  <c r="G92" i="1"/>
  <c r="G108" i="1"/>
  <c r="G109" i="1"/>
  <c r="G110" i="1"/>
  <c r="G111" i="1"/>
  <c r="G107" i="1"/>
  <c r="G113" i="1"/>
  <c r="G114" i="1"/>
  <c r="G112" i="1"/>
  <c r="G116" i="1"/>
  <c r="G115" i="1"/>
  <c r="G106" i="1"/>
  <c r="G119" i="1"/>
  <c r="G120" i="1"/>
  <c r="G121" i="1"/>
  <c r="G118" i="1"/>
  <c r="G123" i="1"/>
  <c r="G124" i="1"/>
  <c r="G125" i="1"/>
  <c r="G126" i="1"/>
  <c r="G122" i="1"/>
  <c r="G117" i="1"/>
  <c r="G128" i="1"/>
  <c r="G130" i="1"/>
  <c r="G131" i="1"/>
  <c r="G132" i="1"/>
  <c r="G133" i="1"/>
  <c r="G127" i="1"/>
  <c r="G135" i="1"/>
  <c r="G136" i="1"/>
  <c r="G137" i="1"/>
  <c r="G138" i="1"/>
  <c r="G139" i="1"/>
  <c r="G140" i="1"/>
  <c r="G141" i="1"/>
  <c r="G142" i="1"/>
  <c r="G143" i="1"/>
  <c r="G144" i="1"/>
  <c r="G145" i="1"/>
  <c r="G146" i="1"/>
  <c r="G147" i="1"/>
  <c r="G148" i="1"/>
  <c r="G134" i="1"/>
  <c r="G150" i="1"/>
  <c r="G149" i="1"/>
  <c r="G152" i="1"/>
  <c r="G153" i="1"/>
  <c r="G154" i="1"/>
  <c r="G155" i="1"/>
  <c r="G156" i="1"/>
  <c r="G157" i="1"/>
  <c r="G158" i="1"/>
  <c r="G159" i="1"/>
  <c r="G160" i="1"/>
  <c r="G151" i="1"/>
  <c r="G162" i="1"/>
  <c r="G161" i="1"/>
  <c r="G164" i="1"/>
  <c r="G165" i="1"/>
  <c r="G166" i="1"/>
  <c r="G167" i="1"/>
  <c r="G168" i="1"/>
  <c r="G169" i="1"/>
  <c r="G170" i="1"/>
  <c r="G171" i="1"/>
  <c r="G163" i="1"/>
  <c r="G231" i="1"/>
  <c r="G232" i="1"/>
  <c r="G233" i="1"/>
  <c r="G234" i="1"/>
  <c r="G235" i="1"/>
  <c r="G230" i="1"/>
  <c r="G237" i="1"/>
  <c r="G238" i="1"/>
  <c r="G239" i="1"/>
  <c r="G240" i="1"/>
  <c r="G241" i="1"/>
  <c r="G242" i="1"/>
  <c r="G243" i="1"/>
  <c r="G244" i="1"/>
  <c r="G245" i="1"/>
  <c r="G246" i="1"/>
  <c r="G247" i="1"/>
  <c r="G248" i="1"/>
  <c r="G249" i="1"/>
  <c r="G250" i="1"/>
  <c r="G251" i="1"/>
  <c r="G252" i="1"/>
  <c r="G236"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53" i="1"/>
  <c r="G284" i="1"/>
  <c r="G285" i="1"/>
  <c r="G286" i="1"/>
  <c r="G287" i="1"/>
  <c r="G288" i="1"/>
  <c r="G289" i="1"/>
  <c r="G290" i="1"/>
  <c r="G283" i="1"/>
  <c r="G292" i="1"/>
  <c r="G293" i="1"/>
  <c r="G294" i="1"/>
  <c r="G295" i="1"/>
  <c r="G296" i="1"/>
  <c r="G297" i="1"/>
  <c r="G298" i="1"/>
  <c r="G299" i="1"/>
  <c r="G300" i="1"/>
  <c r="G301" i="1"/>
  <c r="G302" i="1"/>
  <c r="G291" i="1"/>
  <c r="G304" i="1"/>
  <c r="G305" i="1"/>
  <c r="G306" i="1"/>
  <c r="G307" i="1"/>
  <c r="G308" i="1"/>
  <c r="G309" i="1"/>
  <c r="G310" i="1"/>
  <c r="G311" i="1"/>
  <c r="G312" i="1"/>
  <c r="G313" i="1"/>
  <c r="G314" i="1"/>
  <c r="G303" i="1"/>
  <c r="G316" i="1"/>
  <c r="G317" i="1"/>
  <c r="G318" i="1"/>
  <c r="G319" i="1"/>
  <c r="G320" i="1"/>
  <c r="G321" i="1"/>
  <c r="G322" i="1"/>
  <c r="G323" i="1"/>
  <c r="G324" i="1"/>
  <c r="G315" i="1"/>
  <c r="G326" i="1"/>
  <c r="G327" i="1"/>
  <c r="G328" i="1"/>
  <c r="G329" i="1"/>
  <c r="G330" i="1"/>
  <c r="G331" i="1"/>
  <c r="G332" i="1"/>
  <c r="G333" i="1"/>
  <c r="G334" i="1"/>
  <c r="G335" i="1"/>
  <c r="G336" i="1"/>
  <c r="G337" i="1"/>
  <c r="G338" i="1"/>
  <c r="G339" i="1"/>
  <c r="G325" i="1"/>
  <c r="G229" i="1"/>
  <c r="G341" i="1"/>
  <c r="G342" i="1"/>
  <c r="G343" i="1"/>
  <c r="G344" i="1"/>
  <c r="G340" i="1"/>
  <c r="G346" i="1"/>
  <c r="G347" i="1"/>
  <c r="G348" i="1"/>
  <c r="G349" i="1"/>
  <c r="G350" i="1"/>
  <c r="G351" i="1"/>
  <c r="G352" i="1"/>
  <c r="G353" i="1"/>
  <c r="G354" i="1"/>
  <c r="G355" i="1"/>
  <c r="G356" i="1"/>
  <c r="G357" i="1"/>
  <c r="G358" i="1"/>
  <c r="G359" i="1"/>
  <c r="G360" i="1"/>
  <c r="G361" i="1"/>
  <c r="G362" i="1"/>
  <c r="G363" i="1"/>
  <c r="G364" i="1"/>
  <c r="G345" i="1"/>
  <c r="G366" i="1"/>
  <c r="G367" i="1"/>
  <c r="G368" i="1"/>
  <c r="G369" i="1"/>
  <c r="G365" i="1"/>
  <c r="G371" i="1"/>
  <c r="G372" i="1"/>
  <c r="G373" i="1"/>
  <c r="G370" i="1"/>
  <c r="G376" i="1"/>
  <c r="G377" i="1"/>
  <c r="G378" i="1"/>
  <c r="G379" i="1"/>
  <c r="G380" i="1"/>
  <c r="G381" i="1"/>
  <c r="G375" i="1"/>
  <c r="G374" i="1"/>
  <c r="G434" i="1"/>
  <c r="G433" i="1"/>
  <c r="G84" i="1"/>
  <c r="G85" i="1"/>
  <c r="G87" i="1"/>
  <c r="G82" i="1"/>
  <c r="G435" i="1"/>
  <c r="E241" i="19"/>
  <c r="E243" i="19"/>
  <c r="E244" i="19"/>
  <c r="I86" i="1"/>
  <c r="E235" i="19"/>
  <c r="E237" i="19"/>
  <c r="E238" i="19"/>
  <c r="I83" i="1"/>
  <c r="E82" i="19"/>
  <c r="E84" i="19"/>
  <c r="E85" i="19"/>
  <c r="I41" i="1"/>
  <c r="E83" i="19"/>
  <c r="E82" i="16"/>
  <c r="E81" i="16"/>
  <c r="E80" i="16"/>
  <c r="E77" i="16"/>
  <c r="E78" i="16"/>
  <c r="C135" i="16"/>
  <c r="E135" i="16"/>
  <c r="C136" i="16"/>
  <c r="E136" i="16"/>
  <c r="C137" i="16"/>
  <c r="E137" i="16"/>
  <c r="C138" i="16"/>
  <c r="E138" i="16"/>
  <c r="C139" i="16"/>
  <c r="E139" i="16"/>
  <c r="C140" i="16"/>
  <c r="E140" i="16"/>
  <c r="C141" i="16"/>
  <c r="E141" i="16"/>
  <c r="C142" i="16"/>
  <c r="E142" i="16"/>
  <c r="E143" i="16"/>
  <c r="B162" i="16"/>
  <c r="C162" i="16"/>
  <c r="E162" i="16"/>
  <c r="B163" i="16"/>
  <c r="C163" i="16"/>
  <c r="E163" i="16"/>
  <c r="B164" i="16"/>
  <c r="C164" i="16"/>
  <c r="E164" i="16"/>
  <c r="B165" i="16"/>
  <c r="C165" i="16"/>
  <c r="E165" i="16"/>
  <c r="C166" i="16"/>
  <c r="E166" i="16"/>
  <c r="C167" i="16"/>
  <c r="E167" i="16"/>
  <c r="B168" i="16"/>
  <c r="C168" i="16"/>
  <c r="E168" i="16"/>
  <c r="C169" i="16"/>
  <c r="E169" i="16"/>
  <c r="B170" i="16"/>
  <c r="C170" i="16"/>
  <c r="E170" i="16"/>
  <c r="B171" i="16"/>
  <c r="C171" i="16"/>
  <c r="E171" i="16"/>
  <c r="B172" i="16"/>
  <c r="C172" i="16"/>
  <c r="E172" i="16"/>
  <c r="B173" i="16"/>
  <c r="E173" i="16"/>
  <c r="E174" i="16"/>
  <c r="E96" i="16"/>
  <c r="C207" i="16"/>
  <c r="E207" i="16"/>
  <c r="C208" i="16"/>
  <c r="E208" i="16"/>
  <c r="C209" i="16"/>
  <c r="E209" i="16"/>
  <c r="E210" i="16"/>
  <c r="C211" i="16"/>
  <c r="E211" i="16"/>
  <c r="C212" i="16"/>
  <c r="E212" i="16"/>
  <c r="C213" i="16"/>
  <c r="E213" i="16"/>
  <c r="C214" i="16"/>
  <c r="E214" i="16"/>
  <c r="C215" i="16"/>
  <c r="E215" i="16"/>
  <c r="C216" i="16"/>
  <c r="E216" i="16"/>
  <c r="C217" i="16"/>
  <c r="E217" i="16"/>
  <c r="C218" i="16"/>
  <c r="E218" i="16"/>
  <c r="C219" i="16"/>
  <c r="E219" i="16"/>
  <c r="C220" i="16"/>
  <c r="E220" i="16"/>
  <c r="C221" i="16"/>
  <c r="E221" i="16"/>
  <c r="C222" i="16"/>
  <c r="E222" i="16"/>
  <c r="C223" i="16"/>
  <c r="E223" i="16"/>
  <c r="C224" i="16"/>
  <c r="E224" i="16"/>
  <c r="C225" i="16"/>
  <c r="E225" i="16"/>
  <c r="E226" i="16"/>
  <c r="E266" i="16"/>
  <c r="E267" i="16"/>
  <c r="E125" i="16"/>
  <c r="E126" i="16"/>
  <c r="E97" i="16"/>
  <c r="E98" i="16"/>
  <c r="E94" i="19"/>
  <c r="E97" i="19"/>
  <c r="I43" i="1"/>
  <c r="L43" i="1"/>
  <c r="D86" i="16"/>
  <c r="E86" i="16"/>
  <c r="D87" i="16"/>
  <c r="E87" i="16"/>
  <c r="E88" i="16"/>
  <c r="E88" i="19"/>
  <c r="E90" i="19"/>
  <c r="E91" i="19"/>
  <c r="I42" i="1"/>
  <c r="J42" i="1"/>
  <c r="M42" i="1"/>
  <c r="K42" i="1"/>
  <c r="K38" i="1"/>
  <c r="E67" i="16"/>
  <c r="E74" i="19"/>
  <c r="E76" i="19"/>
  <c r="E77" i="19"/>
  <c r="I38" i="1"/>
  <c r="J38" i="1"/>
  <c r="M38" i="1"/>
  <c r="K30" i="1"/>
  <c r="E18" i="16"/>
  <c r="E43" i="19"/>
  <c r="E45" i="19"/>
  <c r="E46" i="19"/>
  <c r="I31" i="1"/>
  <c r="J31" i="1"/>
  <c r="M31" i="1"/>
  <c r="E27" i="16"/>
  <c r="E49" i="19"/>
  <c r="E51" i="19"/>
  <c r="E52" i="19"/>
  <c r="I32" i="1"/>
  <c r="J32" i="1"/>
  <c r="M32" i="1"/>
  <c r="M30" i="1"/>
  <c r="E36" i="16"/>
  <c r="E35" i="16"/>
  <c r="E38" i="16"/>
  <c r="E40" i="16"/>
  <c r="E42" i="16"/>
  <c r="E41" i="16"/>
  <c r="E245" i="16"/>
  <c r="E246" i="16"/>
  <c r="E247" i="16"/>
  <c r="E250" i="16"/>
  <c r="E251" i="16"/>
  <c r="E252" i="16"/>
  <c r="E161" i="19"/>
  <c r="E149" i="19"/>
  <c r="E151" i="19"/>
  <c r="E152" i="19"/>
  <c r="E83" i="17"/>
  <c r="E84" i="17"/>
  <c r="E85" i="17"/>
  <c r="E86" i="17"/>
  <c r="E87" i="17"/>
  <c r="E204" i="19"/>
  <c r="E207" i="19"/>
  <c r="I73" i="1"/>
  <c r="E62" i="17"/>
  <c r="E66" i="17"/>
  <c r="E72" i="17"/>
  <c r="E73" i="17"/>
  <c r="E75" i="17"/>
  <c r="E198" i="19"/>
  <c r="E201" i="19"/>
  <c r="I72" i="1"/>
  <c r="E53" i="17"/>
  <c r="E192" i="19"/>
  <c r="E195" i="19"/>
  <c r="I71" i="1"/>
  <c r="E199" i="19"/>
  <c r="E79" i="17"/>
  <c r="E78" i="17"/>
  <c r="E205" i="19"/>
  <c r="E91" i="17"/>
  <c r="E90" i="17"/>
  <c r="E193" i="19"/>
  <c r="E57" i="17"/>
  <c r="E56" i="17"/>
  <c r="E36" i="17"/>
  <c r="E32" i="17"/>
  <c r="E30" i="17"/>
  <c r="E27" i="17"/>
  <c r="E38" i="17"/>
  <c r="E39" i="17"/>
  <c r="E40" i="17"/>
  <c r="E41" i="17"/>
  <c r="E42" i="17"/>
  <c r="E186" i="19"/>
  <c r="E189" i="19"/>
  <c r="I70" i="1"/>
  <c r="E187" i="19"/>
  <c r="E46" i="17"/>
  <c r="E45" i="17"/>
  <c r="E180" i="19"/>
  <c r="E182" i="19"/>
  <c r="E183" i="19"/>
  <c r="I66" i="1"/>
  <c r="E19" i="17"/>
  <c r="E250" i="19"/>
  <c r="E253" i="19"/>
  <c r="I395" i="1"/>
  <c r="J395" i="1"/>
  <c r="M395" i="1"/>
  <c r="J384" i="1"/>
  <c r="M384" i="1"/>
  <c r="J391" i="1"/>
  <c r="M391" i="1"/>
  <c r="M383" i="1"/>
  <c r="L395" i="1"/>
  <c r="L384" i="1"/>
  <c r="L391" i="1"/>
  <c r="L383" i="1"/>
  <c r="K384" i="1"/>
  <c r="K391" i="1"/>
  <c r="K383" i="1"/>
  <c r="K401" i="1"/>
  <c r="K402" i="1"/>
  <c r="K397" i="1"/>
  <c r="K398" i="1"/>
  <c r="K399" i="1"/>
  <c r="K400" i="1"/>
  <c r="K403" i="1"/>
  <c r="K396" i="1"/>
  <c r="E257" i="19"/>
  <c r="E260" i="19"/>
  <c r="I404" i="1"/>
  <c r="J404" i="1"/>
  <c r="M404" i="1"/>
  <c r="E263" i="19"/>
  <c r="E266" i="19"/>
  <c r="I405" i="1"/>
  <c r="J405" i="1"/>
  <c r="M405" i="1"/>
  <c r="E269" i="19"/>
  <c r="E272" i="19"/>
  <c r="I406" i="1"/>
  <c r="J406" i="1"/>
  <c r="M406" i="1"/>
  <c r="J401" i="1"/>
  <c r="M401" i="1"/>
  <c r="J402" i="1"/>
  <c r="M402" i="1"/>
  <c r="J397" i="1"/>
  <c r="M397" i="1"/>
  <c r="J398" i="1"/>
  <c r="M398" i="1"/>
  <c r="J399" i="1"/>
  <c r="M399" i="1"/>
  <c r="J400" i="1"/>
  <c r="M400" i="1"/>
  <c r="J403" i="1"/>
  <c r="M403" i="1"/>
  <c r="M396" i="1"/>
  <c r="L404" i="1"/>
  <c r="L405" i="1"/>
  <c r="L406" i="1"/>
  <c r="L401" i="1"/>
  <c r="L402" i="1"/>
  <c r="L397" i="1"/>
  <c r="L398" i="1"/>
  <c r="L399" i="1"/>
  <c r="L400" i="1"/>
  <c r="L403" i="1"/>
  <c r="L396" i="1"/>
  <c r="E95" i="17"/>
  <c r="E102" i="17"/>
  <c r="E103" i="17"/>
  <c r="E107" i="17"/>
  <c r="E210" i="19"/>
  <c r="E213" i="19"/>
  <c r="I75" i="1"/>
  <c r="L75" i="1"/>
  <c r="D111" i="17"/>
  <c r="E111" i="17"/>
  <c r="D112" i="17"/>
  <c r="E112" i="17"/>
  <c r="D113" i="17"/>
  <c r="E113" i="17"/>
  <c r="D114" i="17"/>
  <c r="E114" i="17"/>
  <c r="D115" i="17"/>
  <c r="E115" i="17"/>
  <c r="D116" i="17"/>
  <c r="E116" i="17"/>
  <c r="D117" i="17"/>
  <c r="E117" i="17"/>
  <c r="E118" i="17"/>
  <c r="E122" i="17"/>
  <c r="E216" i="19"/>
  <c r="E219" i="19"/>
  <c r="I79" i="1"/>
  <c r="L79" i="1"/>
  <c r="I80" i="1"/>
  <c r="L80" i="1"/>
  <c r="D147" i="17"/>
  <c r="E147" i="17"/>
  <c r="D148" i="17"/>
  <c r="E148" i="17"/>
  <c r="D149" i="17"/>
  <c r="E149" i="17"/>
  <c r="D150" i="17"/>
  <c r="E150" i="17"/>
  <c r="D151" i="17"/>
  <c r="E151" i="17"/>
  <c r="D152" i="17"/>
  <c r="E152" i="17"/>
  <c r="D153" i="17"/>
  <c r="E153" i="17"/>
  <c r="E154" i="17"/>
  <c r="E158" i="17"/>
  <c r="E228" i="19"/>
  <c r="E231" i="19"/>
  <c r="I81" i="1"/>
  <c r="L81" i="1"/>
  <c r="L66" i="1"/>
  <c r="L70" i="1"/>
  <c r="L71" i="1"/>
  <c r="L72" i="1"/>
  <c r="L73" i="1"/>
  <c r="L67" i="1"/>
  <c r="L68" i="1"/>
  <c r="L69" i="1"/>
  <c r="L74" i="1"/>
  <c r="L76" i="1"/>
  <c r="L77" i="1"/>
  <c r="L78" i="1"/>
  <c r="L65" i="1"/>
  <c r="L64" i="1"/>
  <c r="J75" i="1"/>
  <c r="M75" i="1"/>
  <c r="J79" i="1"/>
  <c r="M79" i="1"/>
  <c r="J80" i="1"/>
  <c r="M80" i="1"/>
  <c r="J81" i="1"/>
  <c r="M81" i="1"/>
  <c r="J66" i="1"/>
  <c r="M66" i="1"/>
  <c r="J70" i="1"/>
  <c r="M70" i="1"/>
  <c r="J71" i="1"/>
  <c r="M71" i="1"/>
  <c r="J72" i="1"/>
  <c r="M72" i="1"/>
  <c r="J73" i="1"/>
  <c r="M73" i="1"/>
  <c r="J67" i="1"/>
  <c r="M67" i="1"/>
  <c r="J68" i="1"/>
  <c r="M68" i="1"/>
  <c r="J69" i="1"/>
  <c r="M69" i="1"/>
  <c r="J74" i="1"/>
  <c r="M74" i="1"/>
  <c r="J76" i="1"/>
  <c r="M76" i="1"/>
  <c r="J77" i="1"/>
  <c r="M77" i="1"/>
  <c r="J78" i="1"/>
  <c r="M78" i="1"/>
  <c r="J65" i="1"/>
  <c r="M65" i="1"/>
  <c r="M64" i="1"/>
  <c r="K67" i="1"/>
  <c r="K68" i="1"/>
  <c r="K69" i="1"/>
  <c r="K76" i="1"/>
  <c r="K77" i="1"/>
  <c r="K78" i="1"/>
  <c r="K74" i="1"/>
  <c r="K65" i="1"/>
  <c r="K64" i="1"/>
  <c r="E211" i="19"/>
  <c r="E229" i="19"/>
  <c r="E275" i="16"/>
  <c r="E276" i="16"/>
  <c r="E277" i="16"/>
  <c r="E278" i="16"/>
  <c r="E173" i="19"/>
  <c r="E175" i="19"/>
  <c r="E176" i="19"/>
  <c r="I63" i="1"/>
  <c r="E167" i="19"/>
  <c r="E169" i="19"/>
  <c r="E170" i="19"/>
  <c r="I62" i="1"/>
  <c r="E163" i="19"/>
  <c r="E164" i="19"/>
  <c r="I61" i="1"/>
  <c r="E234" i="16"/>
  <c r="E235" i="16"/>
  <c r="E236" i="16"/>
  <c r="E237" i="16"/>
  <c r="E155" i="19"/>
  <c r="E157" i="19"/>
  <c r="E158" i="19"/>
  <c r="I58" i="1"/>
  <c r="I57" i="1"/>
  <c r="E193" i="16"/>
  <c r="E194" i="16"/>
  <c r="E195" i="16"/>
  <c r="E197" i="16"/>
  <c r="E198" i="16"/>
  <c r="E199" i="16"/>
  <c r="E143" i="19"/>
  <c r="E145" i="19"/>
  <c r="E146" i="19"/>
  <c r="I56" i="1"/>
  <c r="E183" i="16"/>
  <c r="E184" i="16"/>
  <c r="E185" i="16"/>
  <c r="E137" i="19"/>
  <c r="E139" i="19"/>
  <c r="E140" i="19"/>
  <c r="I53" i="1"/>
  <c r="E131" i="19"/>
  <c r="E133" i="19"/>
  <c r="E134" i="19"/>
  <c r="I51" i="1"/>
  <c r="E154" i="16"/>
  <c r="E125" i="19"/>
  <c r="E127" i="19"/>
  <c r="E128" i="19"/>
  <c r="I50" i="1"/>
  <c r="E119" i="19"/>
  <c r="E121" i="19"/>
  <c r="E122" i="19"/>
  <c r="I49" i="1"/>
  <c r="E112" i="19"/>
  <c r="E114" i="19"/>
  <c r="E115" i="19"/>
  <c r="I46" i="1"/>
  <c r="E115" i="16"/>
  <c r="E116" i="16"/>
  <c r="E117" i="16"/>
  <c r="E106" i="19"/>
  <c r="E108" i="19"/>
  <c r="E109" i="19"/>
  <c r="I45" i="1"/>
  <c r="E106" i="16"/>
  <c r="E107" i="16"/>
  <c r="E100" i="19"/>
  <c r="E102" i="19"/>
  <c r="E103" i="19"/>
  <c r="I44" i="1"/>
  <c r="E59" i="16"/>
  <c r="E68" i="19"/>
  <c r="E70" i="19"/>
  <c r="E71" i="19"/>
  <c r="I36" i="1"/>
  <c r="E47" i="16"/>
  <c r="E48" i="16"/>
  <c r="E61" i="19"/>
  <c r="E63" i="19"/>
  <c r="E64" i="19"/>
  <c r="E55" i="19"/>
  <c r="E57" i="19"/>
  <c r="E58" i="19"/>
  <c r="E35" i="19"/>
  <c r="E38" i="19"/>
  <c r="E28" i="19"/>
  <c r="E30" i="19"/>
  <c r="E31" i="19"/>
  <c r="I20" i="1"/>
  <c r="E22" i="19"/>
  <c r="E24" i="19"/>
  <c r="E25" i="19"/>
  <c r="I19" i="1"/>
  <c r="I14" i="1"/>
  <c r="E242" i="19"/>
  <c r="E236" i="19"/>
  <c r="E181" i="19"/>
  <c r="E174" i="19"/>
  <c r="E168" i="19"/>
  <c r="E162" i="19"/>
  <c r="E156" i="19"/>
  <c r="E150" i="19"/>
  <c r="E144" i="19"/>
  <c r="E138" i="19"/>
  <c r="E132" i="19"/>
  <c r="E126" i="19"/>
  <c r="E120" i="19"/>
  <c r="E113" i="19"/>
  <c r="E107" i="19"/>
  <c r="J43" i="1"/>
  <c r="M43" i="1"/>
  <c r="N43" i="1"/>
  <c r="J44" i="1"/>
  <c r="M44" i="1"/>
  <c r="N44" i="1"/>
  <c r="J45" i="1"/>
  <c r="M45" i="1"/>
  <c r="N45" i="1"/>
  <c r="J46" i="1"/>
  <c r="M46" i="1"/>
  <c r="N46" i="1"/>
  <c r="L44" i="1"/>
  <c r="L45" i="1"/>
  <c r="L46" i="1"/>
  <c r="K46" i="1"/>
  <c r="K45" i="1"/>
  <c r="K44" i="1"/>
  <c r="K43" i="1"/>
  <c r="E101" i="19"/>
  <c r="E96" i="19"/>
  <c r="E95" i="19"/>
  <c r="E89" i="19"/>
  <c r="E75" i="19"/>
  <c r="E69" i="19"/>
  <c r="E62" i="19"/>
  <c r="E56" i="19"/>
  <c r="E50" i="19"/>
  <c r="E44" i="19"/>
  <c r="E56" i="20"/>
  <c r="D50" i="20"/>
  <c r="D49" i="20"/>
  <c r="E41" i="20"/>
  <c r="E45" i="20"/>
  <c r="D29" i="20"/>
  <c r="E29" i="20"/>
  <c r="D30" i="20"/>
  <c r="E30" i="20"/>
  <c r="E31" i="20"/>
  <c r="E35" i="20"/>
  <c r="E17" i="20"/>
  <c r="E18" i="20"/>
  <c r="E19" i="20"/>
  <c r="E20" i="20"/>
  <c r="E24" i="20"/>
  <c r="E49" i="20"/>
  <c r="E50" i="20"/>
  <c r="E52" i="20"/>
  <c r="G428" i="1"/>
  <c r="G429" i="1"/>
  <c r="G430" i="1"/>
  <c r="G431" i="1"/>
  <c r="G432" i="1"/>
  <c r="G427" i="1"/>
  <c r="K395" i="1"/>
  <c r="G395" i="1"/>
  <c r="G390" i="1"/>
  <c r="G129" i="1"/>
  <c r="G81" i="1"/>
  <c r="G79" i="1"/>
  <c r="G63" i="1"/>
  <c r="G57" i="1"/>
  <c r="G51" i="1"/>
  <c r="G49" i="1"/>
  <c r="G46" i="1"/>
  <c r="G43" i="1"/>
  <c r="G42" i="1"/>
  <c r="G28" i="1"/>
  <c r="N404" i="1"/>
  <c r="N405" i="1"/>
  <c r="N406" i="1"/>
  <c r="K404" i="1"/>
  <c r="K405" i="1"/>
  <c r="K406" i="1"/>
  <c r="G404" i="1"/>
  <c r="G405" i="1"/>
  <c r="G406" i="1"/>
  <c r="J385" i="1"/>
  <c r="M385" i="1"/>
  <c r="J386" i="1"/>
  <c r="M386" i="1"/>
  <c r="J387" i="1"/>
  <c r="M387" i="1"/>
  <c r="J388" i="1"/>
  <c r="M388" i="1"/>
  <c r="J389" i="1"/>
  <c r="M389" i="1"/>
  <c r="J390" i="1"/>
  <c r="M390" i="1"/>
  <c r="J392" i="1"/>
  <c r="M392" i="1"/>
  <c r="J393" i="1"/>
  <c r="M393" i="1"/>
  <c r="J394" i="1"/>
  <c r="M394" i="1"/>
  <c r="K385" i="1"/>
  <c r="K386" i="1"/>
  <c r="K387" i="1"/>
  <c r="K388" i="1"/>
  <c r="K389" i="1"/>
  <c r="K390" i="1"/>
  <c r="K392" i="1"/>
  <c r="K393" i="1"/>
  <c r="K394" i="1"/>
  <c r="G385" i="1"/>
  <c r="G386" i="1"/>
  <c r="G387" i="1"/>
  <c r="G388" i="1"/>
  <c r="G389" i="1"/>
  <c r="G392" i="1"/>
  <c r="G393" i="1"/>
  <c r="G394" i="1"/>
  <c r="G34" i="1"/>
  <c r="G19" i="1"/>
  <c r="G20" i="1"/>
  <c r="G21" i="1"/>
  <c r="G22" i="1"/>
  <c r="G23" i="1"/>
  <c r="G24" i="1"/>
  <c r="G25" i="1"/>
  <c r="G18" i="1"/>
  <c r="B27" i="12"/>
  <c r="E31" i="12"/>
  <c r="B31" i="12"/>
  <c r="D30" i="12"/>
  <c r="B30" i="12"/>
  <c r="D29" i="12"/>
  <c r="B29" i="12"/>
  <c r="D28" i="12"/>
  <c r="B28" i="12"/>
  <c r="E28" i="12"/>
  <c r="E30" i="12"/>
  <c r="E29" i="12"/>
  <c r="E27" i="12"/>
  <c r="E32" i="12"/>
  <c r="E26" i="12"/>
  <c r="E25" i="12"/>
  <c r="D24" i="12"/>
  <c r="B24" i="12"/>
  <c r="B23" i="12"/>
  <c r="E23" i="12"/>
  <c r="D22" i="12"/>
  <c r="B22" i="12"/>
  <c r="D20" i="12"/>
  <c r="D19" i="12"/>
  <c r="D17" i="12"/>
  <c r="D16" i="12"/>
  <c r="E21" i="12"/>
  <c r="B38" i="12"/>
  <c r="E38" i="12"/>
  <c r="E39" i="12"/>
  <c r="E24" i="12"/>
  <c r="B20" i="12"/>
  <c r="B18" i="12"/>
  <c r="B19" i="12"/>
  <c r="B17" i="12"/>
  <c r="B16" i="12"/>
  <c r="E22" i="12"/>
  <c r="E40" i="12"/>
  <c r="E42" i="12"/>
  <c r="E102" i="16"/>
  <c r="E63" i="16"/>
  <c r="E56" i="16"/>
  <c r="E111" i="16"/>
  <c r="E71" i="16"/>
  <c r="E22" i="16"/>
  <c r="E22" i="15"/>
  <c r="E17" i="15"/>
  <c r="E16" i="15"/>
  <c r="E15" i="15"/>
  <c r="E23" i="14"/>
  <c r="E24" i="14"/>
  <c r="E15" i="14"/>
  <c r="E16" i="14"/>
  <c r="E92" i="16"/>
  <c r="E271" i="16"/>
  <c r="E189" i="16"/>
  <c r="E241" i="16"/>
  <c r="E31" i="16"/>
  <c r="E282" i="16"/>
  <c r="E203" i="16"/>
  <c r="E158" i="16"/>
  <c r="E256" i="16"/>
  <c r="E147" i="16"/>
  <c r="E230" i="16"/>
  <c r="E130" i="16"/>
  <c r="E18" i="15"/>
  <c r="E28" i="14"/>
  <c r="E20" i="14"/>
  <c r="E52" i="16"/>
  <c r="E51" i="16"/>
  <c r="E178" i="16"/>
  <c r="G70" i="1"/>
  <c r="N70" i="1"/>
  <c r="G71" i="1"/>
  <c r="N71" i="1"/>
  <c r="G72" i="1"/>
  <c r="N72" i="1"/>
  <c r="G73" i="1"/>
  <c r="N73" i="1"/>
  <c r="N74" i="1"/>
  <c r="G75" i="1"/>
  <c r="N75" i="1"/>
  <c r="N76" i="1"/>
  <c r="N77" i="1"/>
  <c r="N78" i="1"/>
  <c r="N79" i="1"/>
  <c r="N80" i="1"/>
  <c r="N81" i="1"/>
  <c r="K70" i="1"/>
  <c r="K71" i="1"/>
  <c r="K72" i="1"/>
  <c r="K73" i="1"/>
  <c r="K75" i="1"/>
  <c r="K79" i="1"/>
  <c r="K80" i="1"/>
  <c r="K81" i="1"/>
  <c r="L62" i="1"/>
  <c r="L63" i="1"/>
  <c r="K62" i="1"/>
  <c r="K63" i="1"/>
  <c r="J62" i="1"/>
  <c r="M62" i="1"/>
  <c r="J63" i="1"/>
  <c r="M63" i="1"/>
  <c r="G44" i="1"/>
  <c r="E45" i="1"/>
  <c r="E42" i="1"/>
  <c r="N62" i="1"/>
  <c r="N63" i="1"/>
  <c r="G45" i="1"/>
  <c r="L42" i="1"/>
  <c r="N42" i="1"/>
  <c r="E17" i="12"/>
  <c r="E16" i="12"/>
  <c r="E20" i="12"/>
  <c r="E18" i="12"/>
  <c r="E19" i="12"/>
  <c r="E34" i="12"/>
  <c r="E37" i="1"/>
  <c r="J37" i="1"/>
  <c r="K37" i="1"/>
  <c r="M37" i="1"/>
  <c r="L37" i="1"/>
  <c r="J36" i="1"/>
  <c r="J14" i="1"/>
  <c r="E434" i="1"/>
  <c r="E432" i="1"/>
  <c r="E431" i="1"/>
  <c r="J430" i="1"/>
  <c r="E430" i="1"/>
  <c r="E429" i="1"/>
  <c r="J428" i="1"/>
  <c r="E428" i="1"/>
  <c r="J426" i="1"/>
  <c r="E426" i="1"/>
  <c r="E425" i="1"/>
  <c r="E423" i="1"/>
  <c r="J422" i="1"/>
  <c r="E422" i="1"/>
  <c r="E421" i="1"/>
  <c r="J420" i="1"/>
  <c r="E420" i="1"/>
  <c r="E419" i="1"/>
  <c r="J418" i="1"/>
  <c r="E418" i="1"/>
  <c r="E417" i="1"/>
  <c r="J416" i="1"/>
  <c r="E416" i="1"/>
  <c r="E415" i="1"/>
  <c r="J414" i="1"/>
  <c r="E414" i="1"/>
  <c r="E413" i="1"/>
  <c r="E411" i="1"/>
  <c r="J410" i="1"/>
  <c r="E410" i="1"/>
  <c r="E409" i="1"/>
  <c r="J408" i="1"/>
  <c r="E408" i="1"/>
  <c r="E403" i="1"/>
  <c r="E402" i="1"/>
  <c r="E401" i="1"/>
  <c r="E400" i="1"/>
  <c r="E399" i="1"/>
  <c r="E398" i="1"/>
  <c r="E397" i="1"/>
  <c r="E394" i="1"/>
  <c r="E393" i="1"/>
  <c r="E392" i="1"/>
  <c r="E391" i="1"/>
  <c r="E390" i="1"/>
  <c r="E389" i="1"/>
  <c r="E388" i="1"/>
  <c r="E387" i="1"/>
  <c r="E386" i="1"/>
  <c r="E385" i="1"/>
  <c r="E384" i="1"/>
  <c r="E381" i="1"/>
  <c r="J380" i="1"/>
  <c r="E380" i="1"/>
  <c r="E379" i="1"/>
  <c r="J378" i="1"/>
  <c r="E378" i="1"/>
  <c r="E377" i="1"/>
  <c r="J376" i="1"/>
  <c r="E376" i="1"/>
  <c r="E373" i="1"/>
  <c r="J372" i="1"/>
  <c r="E372" i="1"/>
  <c r="E371" i="1"/>
  <c r="E369" i="1"/>
  <c r="J368" i="1"/>
  <c r="E368" i="1"/>
  <c r="E367" i="1"/>
  <c r="J366" i="1"/>
  <c r="E366" i="1"/>
  <c r="J364" i="1"/>
  <c r="E364" i="1"/>
  <c r="E363" i="1"/>
  <c r="J362" i="1"/>
  <c r="E362" i="1"/>
  <c r="E361" i="1"/>
  <c r="J360" i="1"/>
  <c r="E360" i="1"/>
  <c r="E359" i="1"/>
  <c r="J358" i="1"/>
  <c r="E358" i="1"/>
  <c r="E357" i="1"/>
  <c r="J356" i="1"/>
  <c r="E356" i="1"/>
  <c r="E355" i="1"/>
  <c r="J354" i="1"/>
  <c r="E354" i="1"/>
  <c r="E353" i="1"/>
  <c r="J352" i="1"/>
  <c r="E352" i="1"/>
  <c r="E351" i="1"/>
  <c r="J350" i="1"/>
  <c r="E350" i="1"/>
  <c r="J349" i="1"/>
  <c r="E349" i="1"/>
  <c r="E348" i="1"/>
  <c r="J347" i="1"/>
  <c r="E347" i="1"/>
  <c r="E346" i="1"/>
  <c r="E344" i="1"/>
  <c r="J343" i="1"/>
  <c r="E343" i="1"/>
  <c r="E342" i="1"/>
  <c r="J341" i="1"/>
  <c r="E341" i="1"/>
  <c r="J339" i="1"/>
  <c r="E339" i="1"/>
  <c r="E338" i="1"/>
  <c r="J337" i="1"/>
  <c r="E337" i="1"/>
  <c r="E336" i="1"/>
  <c r="J335" i="1"/>
  <c r="E335" i="1"/>
  <c r="E334" i="1"/>
  <c r="J333" i="1"/>
  <c r="E333" i="1"/>
  <c r="E332" i="1"/>
  <c r="J331" i="1"/>
  <c r="E331" i="1"/>
  <c r="E330" i="1"/>
  <c r="J329" i="1"/>
  <c r="E329" i="1"/>
  <c r="E328" i="1"/>
  <c r="J327" i="1"/>
  <c r="E327" i="1"/>
  <c r="E326" i="1"/>
  <c r="E324" i="1"/>
  <c r="J323" i="1"/>
  <c r="E323" i="1"/>
  <c r="E322" i="1"/>
  <c r="J321" i="1"/>
  <c r="E321" i="1"/>
  <c r="E320" i="1"/>
  <c r="J319" i="1"/>
  <c r="E319" i="1"/>
  <c r="E318" i="1"/>
  <c r="J317" i="1"/>
  <c r="E317" i="1"/>
  <c r="E316" i="1"/>
  <c r="E314" i="1"/>
  <c r="J313" i="1"/>
  <c r="E313" i="1"/>
  <c r="E312" i="1"/>
  <c r="E311" i="1"/>
  <c r="J310" i="1"/>
  <c r="E310" i="1"/>
  <c r="E309" i="1"/>
  <c r="J308" i="1"/>
  <c r="E308" i="1"/>
  <c r="E307" i="1"/>
  <c r="J306" i="1"/>
  <c r="E306" i="1"/>
  <c r="E305" i="1"/>
  <c r="J304" i="1"/>
  <c r="E304" i="1"/>
  <c r="J302" i="1"/>
  <c r="E302" i="1"/>
  <c r="E301" i="1"/>
  <c r="J300" i="1"/>
  <c r="E300" i="1"/>
  <c r="E299" i="1"/>
  <c r="J298" i="1"/>
  <c r="E298" i="1"/>
  <c r="E297" i="1"/>
  <c r="J296" i="1"/>
  <c r="E296" i="1"/>
  <c r="E295" i="1"/>
  <c r="J294" i="1"/>
  <c r="E294" i="1"/>
  <c r="E293" i="1"/>
  <c r="J292" i="1"/>
  <c r="E292" i="1"/>
  <c r="J290" i="1"/>
  <c r="E290" i="1"/>
  <c r="E289" i="1"/>
  <c r="J288" i="1"/>
  <c r="E288" i="1"/>
  <c r="E287" i="1"/>
  <c r="J286" i="1"/>
  <c r="E286" i="1"/>
  <c r="E285" i="1"/>
  <c r="J284" i="1"/>
  <c r="E284" i="1"/>
  <c r="J282" i="1"/>
  <c r="E282" i="1"/>
  <c r="E281" i="1"/>
  <c r="J280" i="1"/>
  <c r="E280" i="1"/>
  <c r="E279" i="1"/>
  <c r="J278" i="1"/>
  <c r="E278" i="1"/>
  <c r="E277" i="1"/>
  <c r="J276" i="1"/>
  <c r="E276" i="1"/>
  <c r="E275" i="1"/>
  <c r="J274" i="1"/>
  <c r="E274" i="1"/>
  <c r="E273" i="1"/>
  <c r="E272" i="1"/>
  <c r="E271" i="1"/>
  <c r="E270" i="1"/>
  <c r="E269" i="1"/>
  <c r="J268" i="1"/>
  <c r="E268" i="1"/>
  <c r="E267" i="1"/>
  <c r="J266" i="1"/>
  <c r="E266" i="1"/>
  <c r="E265" i="1"/>
  <c r="E264" i="1"/>
  <c r="E263" i="1"/>
  <c r="E262" i="1"/>
  <c r="E261" i="1"/>
  <c r="J260" i="1"/>
  <c r="E260" i="1"/>
  <c r="E259" i="1"/>
  <c r="J258" i="1"/>
  <c r="E258" i="1"/>
  <c r="E257" i="1"/>
  <c r="E256" i="1"/>
  <c r="E255" i="1"/>
  <c r="E254" i="1"/>
  <c r="J252" i="1"/>
  <c r="E252" i="1"/>
  <c r="E251" i="1"/>
  <c r="J250" i="1"/>
  <c r="E250" i="1"/>
  <c r="E249" i="1"/>
  <c r="J248" i="1"/>
  <c r="E248" i="1"/>
  <c r="E247" i="1"/>
  <c r="J246" i="1"/>
  <c r="E246" i="1"/>
  <c r="E245" i="1"/>
  <c r="J244" i="1"/>
  <c r="E244" i="1"/>
  <c r="E243" i="1"/>
  <c r="J242" i="1"/>
  <c r="E242" i="1"/>
  <c r="E241" i="1"/>
  <c r="J240" i="1"/>
  <c r="E240" i="1"/>
  <c r="J239" i="1"/>
  <c r="E239" i="1"/>
  <c r="E238" i="1"/>
  <c r="J237" i="1"/>
  <c r="E237" i="1"/>
  <c r="J235" i="1"/>
  <c r="E235" i="1"/>
  <c r="E234" i="1"/>
  <c r="J233" i="1"/>
  <c r="E233" i="1"/>
  <c r="E232" i="1"/>
  <c r="J231" i="1"/>
  <c r="E231" i="1"/>
  <c r="E228" i="1"/>
  <c r="J227" i="1"/>
  <c r="E227" i="1"/>
  <c r="E226" i="1"/>
  <c r="J225" i="1"/>
  <c r="E225" i="1"/>
  <c r="E224" i="1"/>
  <c r="E222" i="1"/>
  <c r="J221" i="1"/>
  <c r="E221" i="1"/>
  <c r="E220" i="1"/>
  <c r="J219" i="1"/>
  <c r="E219" i="1"/>
  <c r="E218" i="1"/>
  <c r="J217" i="1"/>
  <c r="E217" i="1"/>
  <c r="E216" i="1"/>
  <c r="J215" i="1"/>
  <c r="E215" i="1"/>
  <c r="E214" i="1"/>
  <c r="J213" i="1"/>
  <c r="E213" i="1"/>
  <c r="E212" i="1"/>
  <c r="J211" i="1"/>
  <c r="E211" i="1"/>
  <c r="E210" i="1"/>
  <c r="E208" i="1"/>
  <c r="J207" i="1"/>
  <c r="E207" i="1"/>
  <c r="E206" i="1"/>
  <c r="J205" i="1"/>
  <c r="E205" i="1"/>
  <c r="E204" i="1"/>
  <c r="E203" i="1"/>
  <c r="E202" i="1"/>
  <c r="E200" i="1"/>
  <c r="J199" i="1"/>
  <c r="E199" i="1"/>
  <c r="E198" i="1"/>
  <c r="J197" i="1"/>
  <c r="E197" i="1"/>
  <c r="E196" i="1"/>
  <c r="J195" i="1"/>
  <c r="E195" i="1"/>
  <c r="E194" i="1"/>
  <c r="E193" i="1"/>
  <c r="E192" i="1"/>
  <c r="J191" i="1"/>
  <c r="E191" i="1"/>
  <c r="E190" i="1"/>
  <c r="J189" i="1"/>
  <c r="E189" i="1"/>
  <c r="E188" i="1"/>
  <c r="J187" i="1"/>
  <c r="E187" i="1"/>
  <c r="E186" i="1"/>
  <c r="E185" i="1"/>
  <c r="E184" i="1"/>
  <c r="J183" i="1"/>
  <c r="E183" i="1"/>
  <c r="E182" i="1"/>
  <c r="J181" i="1"/>
  <c r="E181" i="1"/>
  <c r="E180" i="1"/>
  <c r="J179" i="1"/>
  <c r="E179" i="1"/>
  <c r="E178" i="1"/>
  <c r="J177" i="1"/>
  <c r="E177" i="1"/>
  <c r="E176" i="1"/>
  <c r="J175" i="1"/>
  <c r="E175" i="1"/>
  <c r="E174" i="1"/>
  <c r="E171" i="1"/>
  <c r="E170" i="1"/>
  <c r="E169" i="1"/>
  <c r="E168" i="1"/>
  <c r="J167" i="1"/>
  <c r="E167" i="1"/>
  <c r="E166" i="1"/>
  <c r="J165" i="1"/>
  <c r="E165" i="1"/>
  <c r="J164" i="1"/>
  <c r="E164" i="1"/>
  <c r="J162" i="1"/>
  <c r="E162" i="1"/>
  <c r="E160" i="1"/>
  <c r="J159" i="1"/>
  <c r="E159" i="1"/>
  <c r="E158" i="1"/>
  <c r="J157" i="1"/>
  <c r="E157" i="1"/>
  <c r="E156" i="1"/>
  <c r="J155" i="1"/>
  <c r="E155" i="1"/>
  <c r="E154" i="1"/>
  <c r="J153" i="1"/>
  <c r="E153" i="1"/>
  <c r="E152" i="1"/>
  <c r="E150" i="1"/>
  <c r="E148" i="1"/>
  <c r="J147" i="1"/>
  <c r="E147" i="1"/>
  <c r="E146" i="1"/>
  <c r="J145" i="1"/>
  <c r="E145" i="1"/>
  <c r="E144" i="1"/>
  <c r="J143" i="1"/>
  <c r="E143" i="1"/>
  <c r="E142" i="1"/>
  <c r="J141" i="1"/>
  <c r="E141" i="1"/>
  <c r="E140" i="1"/>
  <c r="J139" i="1"/>
  <c r="E139" i="1"/>
  <c r="E138" i="1"/>
  <c r="J137" i="1"/>
  <c r="E137" i="1"/>
  <c r="E136" i="1"/>
  <c r="J135" i="1"/>
  <c r="E135" i="1"/>
  <c r="J133" i="1"/>
  <c r="E133" i="1"/>
  <c r="E132" i="1"/>
  <c r="J131" i="1"/>
  <c r="E131" i="1"/>
  <c r="E130" i="1"/>
  <c r="J129" i="1"/>
  <c r="E129" i="1"/>
  <c r="E128" i="1"/>
  <c r="E126" i="1"/>
  <c r="J125" i="1"/>
  <c r="E125" i="1"/>
  <c r="E124" i="1"/>
  <c r="J123" i="1"/>
  <c r="E123" i="1"/>
  <c r="J121" i="1"/>
  <c r="E121" i="1"/>
  <c r="E120" i="1"/>
  <c r="J119" i="1"/>
  <c r="E119" i="1"/>
  <c r="E116" i="1"/>
  <c r="E114" i="1"/>
  <c r="J113" i="1"/>
  <c r="E113" i="1"/>
  <c r="J111" i="1"/>
  <c r="E111" i="1"/>
  <c r="E110" i="1"/>
  <c r="J109" i="1"/>
  <c r="E109" i="1"/>
  <c r="E108" i="1"/>
  <c r="J105" i="1"/>
  <c r="E105" i="1"/>
  <c r="E104" i="1"/>
  <c r="J103" i="1"/>
  <c r="E103" i="1"/>
  <c r="J101" i="1"/>
  <c r="E101" i="1"/>
  <c r="E100" i="1"/>
  <c r="J99" i="1"/>
  <c r="E99" i="1"/>
  <c r="E98" i="1"/>
  <c r="J97" i="1"/>
  <c r="E97" i="1"/>
  <c r="E96" i="1"/>
  <c r="J95" i="1"/>
  <c r="E95" i="1"/>
  <c r="E94" i="1"/>
  <c r="J91" i="1"/>
  <c r="E91" i="1"/>
  <c r="E90" i="1"/>
  <c r="J89" i="1"/>
  <c r="E89" i="1"/>
  <c r="J87" i="1"/>
  <c r="E87" i="1"/>
  <c r="E86" i="1"/>
  <c r="J85" i="1"/>
  <c r="E85" i="1"/>
  <c r="E84" i="1"/>
  <c r="J83" i="1"/>
  <c r="G83" i="1"/>
  <c r="E83" i="1"/>
  <c r="E69" i="1"/>
  <c r="E68" i="1"/>
  <c r="E67" i="1"/>
  <c r="G66" i="1"/>
  <c r="E66" i="1"/>
  <c r="E65" i="1"/>
  <c r="J61" i="1"/>
  <c r="G61" i="1"/>
  <c r="E61" i="1"/>
  <c r="G60" i="1"/>
  <c r="E60" i="1"/>
  <c r="J59" i="1"/>
  <c r="G59" i="1"/>
  <c r="E59" i="1"/>
  <c r="E58" i="1"/>
  <c r="J57" i="1"/>
  <c r="E57" i="1"/>
  <c r="E56" i="1"/>
  <c r="G55" i="1"/>
  <c r="E55" i="1"/>
  <c r="G54" i="1"/>
  <c r="E54" i="1"/>
  <c r="J53" i="1"/>
  <c r="E53" i="1"/>
  <c r="E52" i="1"/>
  <c r="J51" i="1"/>
  <c r="E51" i="1"/>
  <c r="E50" i="1"/>
  <c r="J49" i="1"/>
  <c r="E49" i="1"/>
  <c r="G48" i="1"/>
  <c r="E48" i="1"/>
  <c r="E46" i="1"/>
  <c r="J41" i="1"/>
  <c r="G41" i="1"/>
  <c r="E41" i="1"/>
  <c r="G38" i="1"/>
  <c r="E38" i="1"/>
  <c r="E36" i="1"/>
  <c r="J34" i="1"/>
  <c r="E34" i="1"/>
  <c r="G33" i="1"/>
  <c r="E33" i="1"/>
  <c r="G32" i="1"/>
  <c r="E32" i="1"/>
  <c r="G31" i="1"/>
  <c r="E31" i="1"/>
  <c r="J28" i="1"/>
  <c r="E28" i="1"/>
  <c r="J27" i="1"/>
  <c r="E27" i="1"/>
  <c r="J25" i="1"/>
  <c r="E25" i="1"/>
  <c r="J24" i="1"/>
  <c r="E24" i="1"/>
  <c r="J23" i="1"/>
  <c r="E23" i="1"/>
  <c r="J22" i="1"/>
  <c r="E22" i="1"/>
  <c r="J21" i="1"/>
  <c r="E21" i="1"/>
  <c r="J20" i="1"/>
  <c r="E20" i="1"/>
  <c r="J19" i="1"/>
  <c r="E19" i="1"/>
  <c r="J17" i="1"/>
  <c r="G17" i="1"/>
  <c r="E17" i="1"/>
  <c r="J16" i="1"/>
  <c r="G16" i="1"/>
  <c r="E16" i="1"/>
  <c r="J15" i="1"/>
  <c r="G15" i="1"/>
  <c r="E15" i="1"/>
  <c r="E14" i="1"/>
  <c r="M83" i="1"/>
  <c r="G30" i="1"/>
  <c r="K83" i="1"/>
  <c r="K66" i="1"/>
  <c r="K91" i="1"/>
  <c r="K110" i="1"/>
  <c r="K119" i="1"/>
  <c r="K129" i="1"/>
  <c r="K430" i="1"/>
  <c r="K99" i="1"/>
  <c r="K176" i="1"/>
  <c r="K184" i="1"/>
  <c r="K234" i="1"/>
  <c r="K238" i="1"/>
  <c r="K241" i="1"/>
  <c r="K271" i="1"/>
  <c r="K306" i="1"/>
  <c r="K36" i="1"/>
  <c r="G36" i="1"/>
  <c r="K60" i="1"/>
  <c r="K233" i="1"/>
  <c r="K138" i="1"/>
  <c r="K143" i="1"/>
  <c r="K155" i="1"/>
  <c r="K158" i="1"/>
  <c r="K180" i="1"/>
  <c r="K187" i="1"/>
  <c r="K190" i="1"/>
  <c r="K208" i="1"/>
  <c r="K219" i="1"/>
  <c r="K222" i="1"/>
  <c r="K225" i="1"/>
  <c r="K228" i="1"/>
  <c r="K235" i="1"/>
  <c r="K245" i="1"/>
  <c r="K261" i="1"/>
  <c r="K263" i="1"/>
  <c r="K277" i="1"/>
  <c r="K282" i="1"/>
  <c r="K286" i="1"/>
  <c r="K289" i="1"/>
  <c r="K298" i="1"/>
  <c r="K364" i="1"/>
  <c r="L393" i="1"/>
  <c r="L19" i="1"/>
  <c r="K48" i="1"/>
  <c r="G53" i="1"/>
  <c r="K53" i="1"/>
  <c r="K58" i="1"/>
  <c r="G58" i="1"/>
  <c r="K103" i="1"/>
  <c r="K108" i="1"/>
  <c r="K124" i="1"/>
  <c r="K130" i="1"/>
  <c r="K139" i="1"/>
  <c r="K142" i="1"/>
  <c r="K147" i="1"/>
  <c r="K159" i="1"/>
  <c r="K164" i="1"/>
  <c r="K186" i="1"/>
  <c r="K196" i="1"/>
  <c r="K204" i="1"/>
  <c r="K210" i="1"/>
  <c r="K224" i="1"/>
  <c r="K246" i="1"/>
  <c r="K255" i="1"/>
  <c r="K257" i="1"/>
  <c r="K269" i="1"/>
  <c r="K273" i="1"/>
  <c r="K278" i="1"/>
  <c r="K285" i="1"/>
  <c r="K331" i="1"/>
  <c r="K339" i="1"/>
  <c r="K380" i="1"/>
  <c r="L385" i="1"/>
  <c r="K418" i="1"/>
  <c r="K428" i="1"/>
  <c r="L14" i="1"/>
  <c r="G14" i="1"/>
  <c r="G13" i="1"/>
  <c r="G40" i="1"/>
  <c r="K50" i="1"/>
  <c r="G50" i="1"/>
  <c r="M53" i="1"/>
  <c r="K96" i="1"/>
  <c r="K101" i="1"/>
  <c r="K105" i="1"/>
  <c r="K123" i="1"/>
  <c r="K126" i="1"/>
  <c r="K141" i="1"/>
  <c r="K144" i="1"/>
  <c r="K150" i="1"/>
  <c r="K149" i="1"/>
  <c r="K153" i="1"/>
  <c r="K156" i="1"/>
  <c r="K162" i="1"/>
  <c r="K161" i="1"/>
  <c r="K178" i="1"/>
  <c r="K206" i="1"/>
  <c r="K212" i="1"/>
  <c r="K217" i="1"/>
  <c r="K220" i="1"/>
  <c r="K226" i="1"/>
  <c r="K237" i="1"/>
  <c r="K243" i="1"/>
  <c r="K248" i="1"/>
  <c r="K251" i="1"/>
  <c r="K259" i="1"/>
  <c r="K275" i="1"/>
  <c r="K280" i="1"/>
  <c r="K287" i="1"/>
  <c r="K333" i="1"/>
  <c r="L387" i="1"/>
  <c r="L394" i="1"/>
  <c r="L21" i="1"/>
  <c r="K52" i="1"/>
  <c r="K84" i="1"/>
  <c r="K95" i="1"/>
  <c r="K98" i="1"/>
  <c r="K109" i="1"/>
  <c r="K113" i="1"/>
  <c r="K121" i="1"/>
  <c r="K125" i="1"/>
  <c r="K131" i="1"/>
  <c r="K135" i="1"/>
  <c r="K15" i="1"/>
  <c r="K54" i="1"/>
  <c r="K56" i="1"/>
  <c r="G56" i="1"/>
  <c r="K86" i="1"/>
  <c r="G86" i="1"/>
  <c r="K97" i="1"/>
  <c r="K100" i="1"/>
  <c r="K111" i="1"/>
  <c r="K116" i="1"/>
  <c r="K115" i="1"/>
  <c r="K128" i="1"/>
  <c r="K133" i="1"/>
  <c r="K137" i="1"/>
  <c r="K140" i="1"/>
  <c r="K145" i="1"/>
  <c r="K148" i="1"/>
  <c r="K152" i="1"/>
  <c r="K157" i="1"/>
  <c r="K160" i="1"/>
  <c r="K174" i="1"/>
  <c r="K182" i="1"/>
  <c r="K192" i="1"/>
  <c r="K194" i="1"/>
  <c r="K221" i="1"/>
  <c r="K227" i="1"/>
  <c r="K232" i="1"/>
  <c r="K247" i="1"/>
  <c r="K267" i="1"/>
  <c r="K279" i="1"/>
  <c r="K288" i="1"/>
  <c r="K292" i="1"/>
  <c r="K300" i="1"/>
  <c r="K304" i="1"/>
  <c r="K358" i="1"/>
  <c r="K410" i="1"/>
  <c r="K416" i="1"/>
  <c r="L34" i="1"/>
  <c r="M34" i="1"/>
  <c r="N34" i="1"/>
  <c r="M153" i="1"/>
  <c r="M101" i="1"/>
  <c r="M135" i="1"/>
  <c r="M143" i="1"/>
  <c r="M195" i="1"/>
  <c r="N195" i="1"/>
  <c r="M129" i="1"/>
  <c r="M225" i="1"/>
  <c r="M280" i="1"/>
  <c r="K59" i="1"/>
  <c r="M211" i="1"/>
  <c r="N211" i="1"/>
  <c r="M235" i="1"/>
  <c r="M300" i="1"/>
  <c r="M85" i="1"/>
  <c r="N85" i="1"/>
  <c r="N388" i="1"/>
  <c r="K258" i="1"/>
  <c r="M87" i="1"/>
  <c r="N87" i="1"/>
  <c r="M227" i="1"/>
  <c r="K240" i="1"/>
  <c r="K242" i="1"/>
  <c r="N390" i="1"/>
  <c r="M57" i="1"/>
  <c r="N57" i="1"/>
  <c r="L24" i="1"/>
  <c r="M24" i="1"/>
  <c r="N24" i="1"/>
  <c r="K24" i="1"/>
  <c r="M49" i="1"/>
  <c r="N49" i="1"/>
  <c r="L55" i="1"/>
  <c r="M103" i="1"/>
  <c r="M111" i="1"/>
  <c r="M119" i="1"/>
  <c r="M137" i="1"/>
  <c r="M145" i="1"/>
  <c r="M155" i="1"/>
  <c r="M187" i="1"/>
  <c r="K197" i="1"/>
  <c r="K256" i="1"/>
  <c r="M313" i="1"/>
  <c r="N313" i="1"/>
  <c r="M319" i="1"/>
  <c r="N319" i="1"/>
  <c r="K55" i="1"/>
  <c r="M109" i="1"/>
  <c r="K313" i="1"/>
  <c r="K319" i="1"/>
  <c r="M20" i="1"/>
  <c r="N20" i="1"/>
  <c r="K20" i="1"/>
  <c r="L16" i="1"/>
  <c r="N16" i="1"/>
  <c r="K23" i="1"/>
  <c r="L27" i="1"/>
  <c r="M27" i="1"/>
  <c r="N27" i="1"/>
  <c r="K27" i="1"/>
  <c r="L38" i="1"/>
  <c r="K41" i="1"/>
  <c r="K57" i="1"/>
  <c r="M14" i="1"/>
  <c r="L20" i="1"/>
  <c r="K181" i="1"/>
  <c r="M248" i="1"/>
  <c r="K264" i="1"/>
  <c r="M350" i="1"/>
  <c r="N350" i="1"/>
  <c r="K356" i="1"/>
  <c r="M23" i="1"/>
  <c r="N23" i="1"/>
  <c r="K34" i="1"/>
  <c r="K49" i="1"/>
  <c r="K85" i="1"/>
  <c r="K193" i="1"/>
  <c r="K195" i="1"/>
  <c r="K211" i="1"/>
  <c r="K213" i="1"/>
  <c r="M246" i="1"/>
  <c r="K272" i="1"/>
  <c r="K274" i="1"/>
  <c r="K350" i="1"/>
  <c r="M15" i="1"/>
  <c r="N15" i="1"/>
  <c r="L85" i="1"/>
  <c r="L162" i="1"/>
  <c r="L161" i="1"/>
  <c r="M164" i="1"/>
  <c r="K165" i="1"/>
  <c r="K179" i="1"/>
  <c r="K205" i="1"/>
  <c r="M233" i="1"/>
  <c r="M278" i="1"/>
  <c r="L185" i="1"/>
  <c r="J185" i="1"/>
  <c r="M185" i="1"/>
  <c r="N185" i="1"/>
  <c r="K249" i="1"/>
  <c r="K265" i="1"/>
  <c r="K14" i="1"/>
  <c r="K19" i="1"/>
  <c r="K90" i="1"/>
  <c r="K120" i="1"/>
  <c r="M121" i="1"/>
  <c r="K132" i="1"/>
  <c r="K168" i="1"/>
  <c r="K189" i="1"/>
  <c r="K198" i="1"/>
  <c r="K203" i="1"/>
  <c r="K214" i="1"/>
  <c r="K218" i="1"/>
  <c r="M219" i="1"/>
  <c r="L264" i="1"/>
  <c r="J264" i="1"/>
  <c r="M264" i="1"/>
  <c r="N264" i="1"/>
  <c r="K94" i="1"/>
  <c r="K104" i="1"/>
  <c r="K154" i="1"/>
  <c r="N65" i="1"/>
  <c r="K89" i="1"/>
  <c r="K136" i="1"/>
  <c r="K146" i="1"/>
  <c r="K171" i="1"/>
  <c r="K188" i="1"/>
  <c r="K202" i="1"/>
  <c r="L262" i="1"/>
  <c r="J262" i="1"/>
  <c r="M262" i="1"/>
  <c r="N262" i="1"/>
  <c r="K281" i="1"/>
  <c r="M21" i="1"/>
  <c r="L17" i="1"/>
  <c r="K21" i="1"/>
  <c r="N32" i="1"/>
  <c r="K51" i="1"/>
  <c r="J55" i="1"/>
  <c r="M55" i="1"/>
  <c r="N55" i="1"/>
  <c r="K114" i="1"/>
  <c r="K166" i="1"/>
  <c r="K170" i="1"/>
  <c r="K200" i="1"/>
  <c r="K216" i="1"/>
  <c r="M217" i="1"/>
  <c r="K250" i="1"/>
  <c r="K266" i="1"/>
  <c r="M162" i="1"/>
  <c r="L169" i="1"/>
  <c r="L171" i="1"/>
  <c r="L203" i="1"/>
  <c r="M298" i="1"/>
  <c r="M306" i="1"/>
  <c r="M333" i="1"/>
  <c r="K87" i="1"/>
  <c r="J169" i="1"/>
  <c r="M169" i="1"/>
  <c r="N169" i="1"/>
  <c r="J171" i="1"/>
  <c r="M171" i="1"/>
  <c r="N171" i="1"/>
  <c r="L177" i="1"/>
  <c r="L179" i="1"/>
  <c r="L193" i="1"/>
  <c r="J203" i="1"/>
  <c r="M203" i="1"/>
  <c r="N203" i="1"/>
  <c r="L254" i="1"/>
  <c r="L256" i="1"/>
  <c r="L270" i="1"/>
  <c r="L272" i="1"/>
  <c r="M292" i="1"/>
  <c r="M304" i="1"/>
  <c r="K317" i="1"/>
  <c r="M358" i="1"/>
  <c r="M380" i="1"/>
  <c r="M418" i="1"/>
  <c r="M430" i="1"/>
  <c r="M36" i="1"/>
  <c r="M95" i="1"/>
  <c r="M177" i="1"/>
  <c r="N177" i="1"/>
  <c r="M179" i="1"/>
  <c r="N179" i="1"/>
  <c r="J193" i="1"/>
  <c r="M193" i="1"/>
  <c r="N193" i="1"/>
  <c r="L211" i="1"/>
  <c r="J254" i="1"/>
  <c r="M254" i="1"/>
  <c r="N254" i="1"/>
  <c r="J256" i="1"/>
  <c r="M256" i="1"/>
  <c r="N256" i="1"/>
  <c r="J270" i="1"/>
  <c r="M270" i="1"/>
  <c r="N270" i="1"/>
  <c r="J272" i="1"/>
  <c r="M272" i="1"/>
  <c r="N272" i="1"/>
  <c r="M286" i="1"/>
  <c r="M288" i="1"/>
  <c r="L434" i="1"/>
  <c r="L433" i="1"/>
  <c r="K17" i="1"/>
  <c r="L22" i="1"/>
  <c r="L15" i="1"/>
  <c r="M19" i="1"/>
  <c r="M22" i="1"/>
  <c r="N22" i="1"/>
  <c r="M17" i="1"/>
  <c r="N17" i="1"/>
  <c r="K22" i="1"/>
  <c r="M25" i="1"/>
  <c r="N25" i="1"/>
  <c r="K25" i="1"/>
  <c r="L28" i="1"/>
  <c r="L32" i="1"/>
  <c r="L31" i="1"/>
  <c r="L25" i="1"/>
  <c r="K28" i="1"/>
  <c r="K32" i="1"/>
  <c r="J33" i="1"/>
  <c r="M33" i="1"/>
  <c r="N33" i="1"/>
  <c r="L33" i="1"/>
  <c r="L23" i="1"/>
  <c r="K31" i="1"/>
  <c r="K33" i="1"/>
  <c r="L41" i="1"/>
  <c r="L50" i="1"/>
  <c r="J50" i="1"/>
  <c r="M50" i="1"/>
  <c r="L51" i="1"/>
  <c r="L58" i="1"/>
  <c r="J58" i="1"/>
  <c r="L59" i="1"/>
  <c r="M61" i="1"/>
  <c r="N61" i="1"/>
  <c r="L89" i="1"/>
  <c r="M91" i="1"/>
  <c r="L95" i="1"/>
  <c r="L96" i="1"/>
  <c r="J96" i="1"/>
  <c r="M96" i="1"/>
  <c r="M99" i="1"/>
  <c r="L103" i="1"/>
  <c r="L104" i="1"/>
  <c r="J104" i="1"/>
  <c r="M104" i="1"/>
  <c r="N104" i="1"/>
  <c r="L111" i="1"/>
  <c r="L121" i="1"/>
  <c r="M125" i="1"/>
  <c r="L129" i="1"/>
  <c r="L130" i="1"/>
  <c r="J130" i="1"/>
  <c r="M130" i="1"/>
  <c r="M133" i="1"/>
  <c r="L137" i="1"/>
  <c r="L138" i="1"/>
  <c r="J138" i="1"/>
  <c r="M138" i="1"/>
  <c r="M141" i="1"/>
  <c r="L145" i="1"/>
  <c r="L146" i="1"/>
  <c r="J146" i="1"/>
  <c r="M146" i="1"/>
  <c r="N146" i="1"/>
  <c r="L155" i="1"/>
  <c r="L156" i="1"/>
  <c r="J156" i="1"/>
  <c r="M156" i="1"/>
  <c r="M159" i="1"/>
  <c r="K199" i="1"/>
  <c r="K207" i="1"/>
  <c r="K215" i="1"/>
  <c r="L231" i="1"/>
  <c r="K231" i="1"/>
  <c r="L239" i="1"/>
  <c r="K239" i="1"/>
  <c r="L36" i="1"/>
  <c r="M41" i="1"/>
  <c r="N41" i="1"/>
  <c r="L48" i="1"/>
  <c r="J48" i="1"/>
  <c r="M48" i="1"/>
  <c r="L49" i="1"/>
  <c r="M51" i="1"/>
  <c r="N51" i="1"/>
  <c r="L56" i="1"/>
  <c r="J56" i="1"/>
  <c r="M56" i="1"/>
  <c r="L57" i="1"/>
  <c r="M59" i="1"/>
  <c r="N59" i="1"/>
  <c r="K61" i="1"/>
  <c r="L86" i="1"/>
  <c r="J86" i="1"/>
  <c r="M86" i="1"/>
  <c r="N86" i="1"/>
  <c r="L87" i="1"/>
  <c r="M89" i="1"/>
  <c r="N89" i="1"/>
  <c r="L94" i="1"/>
  <c r="J94" i="1"/>
  <c r="M94" i="1"/>
  <c r="N94" i="1"/>
  <c r="M97" i="1"/>
  <c r="L101" i="1"/>
  <c r="M105" i="1"/>
  <c r="L109" i="1"/>
  <c r="L110" i="1"/>
  <c r="J110" i="1"/>
  <c r="M110" i="1"/>
  <c r="M113" i="1"/>
  <c r="L119" i="1"/>
  <c r="L120" i="1"/>
  <c r="J120" i="1"/>
  <c r="M120" i="1"/>
  <c r="N120" i="1"/>
  <c r="M123" i="1"/>
  <c r="L128" i="1"/>
  <c r="J128" i="1"/>
  <c r="M128" i="1"/>
  <c r="M131" i="1"/>
  <c r="L135" i="1"/>
  <c r="L136" i="1"/>
  <c r="J136" i="1"/>
  <c r="M136" i="1"/>
  <c r="N136" i="1"/>
  <c r="M139" i="1"/>
  <c r="L143" i="1"/>
  <c r="L144" i="1"/>
  <c r="J144" i="1"/>
  <c r="M144" i="1"/>
  <c r="M147" i="1"/>
  <c r="L153" i="1"/>
  <c r="L154" i="1"/>
  <c r="J154" i="1"/>
  <c r="M154" i="1"/>
  <c r="N154" i="1"/>
  <c r="M157" i="1"/>
  <c r="L54" i="1"/>
  <c r="J54" i="1"/>
  <c r="M54" i="1"/>
  <c r="N54" i="1"/>
  <c r="L84" i="1"/>
  <c r="J84" i="1"/>
  <c r="M84" i="1"/>
  <c r="L91" i="1"/>
  <c r="L99" i="1"/>
  <c r="L100" i="1"/>
  <c r="J100" i="1"/>
  <c r="M100" i="1"/>
  <c r="L108" i="1"/>
  <c r="J108" i="1"/>
  <c r="M108" i="1"/>
  <c r="L125" i="1"/>
  <c r="L126" i="1"/>
  <c r="J126" i="1"/>
  <c r="M126" i="1"/>
  <c r="L133" i="1"/>
  <c r="L141" i="1"/>
  <c r="L142" i="1"/>
  <c r="J142" i="1"/>
  <c r="M142" i="1"/>
  <c r="L152" i="1"/>
  <c r="J152" i="1"/>
  <c r="M152" i="1"/>
  <c r="L159" i="1"/>
  <c r="J160" i="1"/>
  <c r="M160" i="1"/>
  <c r="L160" i="1"/>
  <c r="L168" i="1"/>
  <c r="J168" i="1"/>
  <c r="M168" i="1"/>
  <c r="N168" i="1"/>
  <c r="L176" i="1"/>
  <c r="J176" i="1"/>
  <c r="M176" i="1"/>
  <c r="L184" i="1"/>
  <c r="J184" i="1"/>
  <c r="M184" i="1"/>
  <c r="L192" i="1"/>
  <c r="J192" i="1"/>
  <c r="M192" i="1"/>
  <c r="N192" i="1"/>
  <c r="L52" i="1"/>
  <c r="J52" i="1"/>
  <c r="M52" i="1"/>
  <c r="L53" i="1"/>
  <c r="L60" i="1"/>
  <c r="J60" i="1"/>
  <c r="M60" i="1"/>
  <c r="L61" i="1"/>
  <c r="L83" i="1"/>
  <c r="L90" i="1"/>
  <c r="J90" i="1"/>
  <c r="M90" i="1"/>
  <c r="N90" i="1"/>
  <c r="L97" i="1"/>
  <c r="L98" i="1"/>
  <c r="J98" i="1"/>
  <c r="M98" i="1"/>
  <c r="L105" i="1"/>
  <c r="L113" i="1"/>
  <c r="L114" i="1"/>
  <c r="J114" i="1"/>
  <c r="M114" i="1"/>
  <c r="N114" i="1"/>
  <c r="L116" i="1"/>
  <c r="L115" i="1"/>
  <c r="J116" i="1"/>
  <c r="M116" i="1"/>
  <c r="L123" i="1"/>
  <c r="L124" i="1"/>
  <c r="J124" i="1"/>
  <c r="M124" i="1"/>
  <c r="L131" i="1"/>
  <c r="L132" i="1"/>
  <c r="J132" i="1"/>
  <c r="M132" i="1"/>
  <c r="N132" i="1"/>
  <c r="L139" i="1"/>
  <c r="L140" i="1"/>
  <c r="J140" i="1"/>
  <c r="M140" i="1"/>
  <c r="L147" i="1"/>
  <c r="L148" i="1"/>
  <c r="J148" i="1"/>
  <c r="M148" i="1"/>
  <c r="L150" i="1"/>
  <c r="L149" i="1"/>
  <c r="J150" i="1"/>
  <c r="M150" i="1"/>
  <c r="L157" i="1"/>
  <c r="L158" i="1"/>
  <c r="J158" i="1"/>
  <c r="M158" i="1"/>
  <c r="K167" i="1"/>
  <c r="K175" i="1"/>
  <c r="K183" i="1"/>
  <c r="K191" i="1"/>
  <c r="L200" i="1"/>
  <c r="J200" i="1"/>
  <c r="M200" i="1"/>
  <c r="N200" i="1"/>
  <c r="L208" i="1"/>
  <c r="J208" i="1"/>
  <c r="M208" i="1"/>
  <c r="L216" i="1"/>
  <c r="J216" i="1"/>
  <c r="M216" i="1"/>
  <c r="N216" i="1"/>
  <c r="L224" i="1"/>
  <c r="J224" i="1"/>
  <c r="M224" i="1"/>
  <c r="L232" i="1"/>
  <c r="J232" i="1"/>
  <c r="M232" i="1"/>
  <c r="L299" i="1"/>
  <c r="J299" i="1"/>
  <c r="M299" i="1"/>
  <c r="N299" i="1"/>
  <c r="L166" i="1"/>
  <c r="J166" i="1"/>
  <c r="M166" i="1"/>
  <c r="N166" i="1"/>
  <c r="L167" i="1"/>
  <c r="L174" i="1"/>
  <c r="J174" i="1"/>
  <c r="M174" i="1"/>
  <c r="N174" i="1"/>
  <c r="L175" i="1"/>
  <c r="L182" i="1"/>
  <c r="J182" i="1"/>
  <c r="M182" i="1"/>
  <c r="L183" i="1"/>
  <c r="L190" i="1"/>
  <c r="J190" i="1"/>
  <c r="M190" i="1"/>
  <c r="L191" i="1"/>
  <c r="L198" i="1"/>
  <c r="J198" i="1"/>
  <c r="M198" i="1"/>
  <c r="N198" i="1"/>
  <c r="L199" i="1"/>
  <c r="L206" i="1"/>
  <c r="J206" i="1"/>
  <c r="M206" i="1"/>
  <c r="L207" i="1"/>
  <c r="L214" i="1"/>
  <c r="J214" i="1"/>
  <c r="M214" i="1"/>
  <c r="N214" i="1"/>
  <c r="L215" i="1"/>
  <c r="L221" i="1"/>
  <c r="L222" i="1"/>
  <c r="J222" i="1"/>
  <c r="M222" i="1"/>
  <c r="L237" i="1"/>
  <c r="L238" i="1"/>
  <c r="J238" i="1"/>
  <c r="M238" i="1"/>
  <c r="L294" i="1"/>
  <c r="K294" i="1"/>
  <c r="L302" i="1"/>
  <c r="K302" i="1"/>
  <c r="L164" i="1"/>
  <c r="L165" i="1"/>
  <c r="M167" i="1"/>
  <c r="N167" i="1"/>
  <c r="K169" i="1"/>
  <c r="M175" i="1"/>
  <c r="N175" i="1"/>
  <c r="K177" i="1"/>
  <c r="L180" i="1"/>
  <c r="J180" i="1"/>
  <c r="M180" i="1"/>
  <c r="L181" i="1"/>
  <c r="M183" i="1"/>
  <c r="N183" i="1"/>
  <c r="K185" i="1"/>
  <c r="L187" i="1"/>
  <c r="L188" i="1"/>
  <c r="J188" i="1"/>
  <c r="M188" i="1"/>
  <c r="N188" i="1"/>
  <c r="L189" i="1"/>
  <c r="M191" i="1"/>
  <c r="N191" i="1"/>
  <c r="L196" i="1"/>
  <c r="J196" i="1"/>
  <c r="M196" i="1"/>
  <c r="L197" i="1"/>
  <c r="M199" i="1"/>
  <c r="N199" i="1"/>
  <c r="L204" i="1"/>
  <c r="J204" i="1"/>
  <c r="M204" i="1"/>
  <c r="L205" i="1"/>
  <c r="M207" i="1"/>
  <c r="N207" i="1"/>
  <c r="L212" i="1"/>
  <c r="J212" i="1"/>
  <c r="M212" i="1"/>
  <c r="L213" i="1"/>
  <c r="M215" i="1"/>
  <c r="N215" i="1"/>
  <c r="L219" i="1"/>
  <c r="L220" i="1"/>
  <c r="J220" i="1"/>
  <c r="M220" i="1"/>
  <c r="L227" i="1"/>
  <c r="L228" i="1"/>
  <c r="J228" i="1"/>
  <c r="M228" i="1"/>
  <c r="M231" i="1"/>
  <c r="N231" i="1"/>
  <c r="L235" i="1"/>
  <c r="M239" i="1"/>
  <c r="N239" i="1"/>
  <c r="L245" i="1"/>
  <c r="J245" i="1"/>
  <c r="M245" i="1"/>
  <c r="L261" i="1"/>
  <c r="J261" i="1"/>
  <c r="M261" i="1"/>
  <c r="L269" i="1"/>
  <c r="J269" i="1"/>
  <c r="M269" i="1"/>
  <c r="L277" i="1"/>
  <c r="J277" i="1"/>
  <c r="M277" i="1"/>
  <c r="L285" i="1"/>
  <c r="J285" i="1"/>
  <c r="M285" i="1"/>
  <c r="L305" i="1"/>
  <c r="J305" i="1"/>
  <c r="M305" i="1"/>
  <c r="N305" i="1"/>
  <c r="M165" i="1"/>
  <c r="N165" i="1"/>
  <c r="L170" i="1"/>
  <c r="J170" i="1"/>
  <c r="M170" i="1"/>
  <c r="N170" i="1"/>
  <c r="L178" i="1"/>
  <c r="J178" i="1"/>
  <c r="M178" i="1"/>
  <c r="M181" i="1"/>
  <c r="N181" i="1"/>
  <c r="L186" i="1"/>
  <c r="J186" i="1"/>
  <c r="M186" i="1"/>
  <c r="M189" i="1"/>
  <c r="N189" i="1"/>
  <c r="L194" i="1"/>
  <c r="J194" i="1"/>
  <c r="M194" i="1"/>
  <c r="L195" i="1"/>
  <c r="M197" i="1"/>
  <c r="N197" i="1"/>
  <c r="L202" i="1"/>
  <c r="J202" i="1"/>
  <c r="M202" i="1"/>
  <c r="N202" i="1"/>
  <c r="M205" i="1"/>
  <c r="N205" i="1"/>
  <c r="L210" i="1"/>
  <c r="J210" i="1"/>
  <c r="M210" i="1"/>
  <c r="M213" i="1"/>
  <c r="N213" i="1"/>
  <c r="L217" i="1"/>
  <c r="L218" i="1"/>
  <c r="J218" i="1"/>
  <c r="M218" i="1"/>
  <c r="N218" i="1"/>
  <c r="M221" i="1"/>
  <c r="L225" i="1"/>
  <c r="L226" i="1"/>
  <c r="J226" i="1"/>
  <c r="M226" i="1"/>
  <c r="L233" i="1"/>
  <c r="L234" i="1"/>
  <c r="J234" i="1"/>
  <c r="M234" i="1"/>
  <c r="M237" i="1"/>
  <c r="K244" i="1"/>
  <c r="K252" i="1"/>
  <c r="K260" i="1"/>
  <c r="K268" i="1"/>
  <c r="K276" i="1"/>
  <c r="L284" i="1"/>
  <c r="K284" i="1"/>
  <c r="L308" i="1"/>
  <c r="K308" i="1"/>
  <c r="K327" i="1"/>
  <c r="L335" i="1"/>
  <c r="K335" i="1"/>
  <c r="L243" i="1"/>
  <c r="J243" i="1"/>
  <c r="M243" i="1"/>
  <c r="L244" i="1"/>
  <c r="L251" i="1"/>
  <c r="J251" i="1"/>
  <c r="M251" i="1"/>
  <c r="L252" i="1"/>
  <c r="L259" i="1"/>
  <c r="J259" i="1"/>
  <c r="M259" i="1"/>
  <c r="L260" i="1"/>
  <c r="L267" i="1"/>
  <c r="J267" i="1"/>
  <c r="M267" i="1"/>
  <c r="N267" i="1"/>
  <c r="L268" i="1"/>
  <c r="L275" i="1"/>
  <c r="J275" i="1"/>
  <c r="M275" i="1"/>
  <c r="L276" i="1"/>
  <c r="L282" i="1"/>
  <c r="L290" i="1"/>
  <c r="L293" i="1"/>
  <c r="J293" i="1"/>
  <c r="M293" i="1"/>
  <c r="N293" i="1"/>
  <c r="M294" i="1"/>
  <c r="N294" i="1"/>
  <c r="L296" i="1"/>
  <c r="L301" i="1"/>
  <c r="J301" i="1"/>
  <c r="M301" i="1"/>
  <c r="N301" i="1"/>
  <c r="M302" i="1"/>
  <c r="N302" i="1"/>
  <c r="L307" i="1"/>
  <c r="J307" i="1"/>
  <c r="M307" i="1"/>
  <c r="N307" i="1"/>
  <c r="M308" i="1"/>
  <c r="N308" i="1"/>
  <c r="L310" i="1"/>
  <c r="L357" i="1"/>
  <c r="J357" i="1"/>
  <c r="M357" i="1"/>
  <c r="N357" i="1"/>
  <c r="L372" i="1"/>
  <c r="K372" i="1"/>
  <c r="L240" i="1"/>
  <c r="L241" i="1"/>
  <c r="J241" i="1"/>
  <c r="M241" i="1"/>
  <c r="L242" i="1"/>
  <c r="M244" i="1"/>
  <c r="N244" i="1"/>
  <c r="L248" i="1"/>
  <c r="L249" i="1"/>
  <c r="J249" i="1"/>
  <c r="M249" i="1"/>
  <c r="N249" i="1"/>
  <c r="L250" i="1"/>
  <c r="M252" i="1"/>
  <c r="N252" i="1"/>
  <c r="K254" i="1"/>
  <c r="L257" i="1"/>
  <c r="J257" i="1"/>
  <c r="M257" i="1"/>
  <c r="L258" i="1"/>
  <c r="M260" i="1"/>
  <c r="N260" i="1"/>
  <c r="K262" i="1"/>
  <c r="L265" i="1"/>
  <c r="J265" i="1"/>
  <c r="M265" i="1"/>
  <c r="N265" i="1"/>
  <c r="L266" i="1"/>
  <c r="M268" i="1"/>
  <c r="N268" i="1"/>
  <c r="K270" i="1"/>
  <c r="L273" i="1"/>
  <c r="J273" i="1"/>
  <c r="M273" i="1"/>
  <c r="L274" i="1"/>
  <c r="M276" i="1"/>
  <c r="N276" i="1"/>
  <c r="L280" i="1"/>
  <c r="L281" i="1"/>
  <c r="J281" i="1"/>
  <c r="M281" i="1"/>
  <c r="N281" i="1"/>
  <c r="M284" i="1"/>
  <c r="N284" i="1"/>
  <c r="L288" i="1"/>
  <c r="L289" i="1"/>
  <c r="J289" i="1"/>
  <c r="M289" i="1"/>
  <c r="M290" i="1"/>
  <c r="N290" i="1"/>
  <c r="L295" i="1"/>
  <c r="J295" i="1"/>
  <c r="M295" i="1"/>
  <c r="N295" i="1"/>
  <c r="M296" i="1"/>
  <c r="N296" i="1"/>
  <c r="L298" i="1"/>
  <c r="L304" i="1"/>
  <c r="L309" i="1"/>
  <c r="J309" i="1"/>
  <c r="M309" i="1"/>
  <c r="N309" i="1"/>
  <c r="M310" i="1"/>
  <c r="N310" i="1"/>
  <c r="L318" i="1"/>
  <c r="J318" i="1"/>
  <c r="M318" i="1"/>
  <c r="N318" i="1"/>
  <c r="L341" i="1"/>
  <c r="K341" i="1"/>
  <c r="M240" i="1"/>
  <c r="N240" i="1"/>
  <c r="M242" i="1"/>
  <c r="N242" i="1"/>
  <c r="L246" i="1"/>
  <c r="L247" i="1"/>
  <c r="J247" i="1"/>
  <c r="M247" i="1"/>
  <c r="M250" i="1"/>
  <c r="N250" i="1"/>
  <c r="L255" i="1"/>
  <c r="J255" i="1"/>
  <c r="M255" i="1"/>
  <c r="N255" i="1"/>
  <c r="M258" i="1"/>
  <c r="N258" i="1"/>
  <c r="L263" i="1"/>
  <c r="J263" i="1"/>
  <c r="M263" i="1"/>
  <c r="M266" i="1"/>
  <c r="N266" i="1"/>
  <c r="L271" i="1"/>
  <c r="J271" i="1"/>
  <c r="M271" i="1"/>
  <c r="M274" i="1"/>
  <c r="N274" i="1"/>
  <c r="L278" i="1"/>
  <c r="L279" i="1"/>
  <c r="J279" i="1"/>
  <c r="M279" i="1"/>
  <c r="M282" i="1"/>
  <c r="L286" i="1"/>
  <c r="L287" i="1"/>
  <c r="J287" i="1"/>
  <c r="M287" i="1"/>
  <c r="K290" i="1"/>
  <c r="L292" i="1"/>
  <c r="K296" i="1"/>
  <c r="L297" i="1"/>
  <c r="J297" i="1"/>
  <c r="M297" i="1"/>
  <c r="N297" i="1"/>
  <c r="L300" i="1"/>
  <c r="L306" i="1"/>
  <c r="K310" i="1"/>
  <c r="L311" i="1"/>
  <c r="J311" i="1"/>
  <c r="M311" i="1"/>
  <c r="N311" i="1"/>
  <c r="L312" i="1"/>
  <c r="J312" i="1"/>
  <c r="M312" i="1"/>
  <c r="N312" i="1"/>
  <c r="K321" i="1"/>
  <c r="L332" i="1"/>
  <c r="J332" i="1"/>
  <c r="M332" i="1"/>
  <c r="N332" i="1"/>
  <c r="L347" i="1"/>
  <c r="K347" i="1"/>
  <c r="L314" i="1"/>
  <c r="J314" i="1"/>
  <c r="M314" i="1"/>
  <c r="N314" i="1"/>
  <c r="L320" i="1"/>
  <c r="J320" i="1"/>
  <c r="M320" i="1"/>
  <c r="N320" i="1"/>
  <c r="M321" i="1"/>
  <c r="N321" i="1"/>
  <c r="L326" i="1"/>
  <c r="J326" i="1"/>
  <c r="M326" i="1"/>
  <c r="N326" i="1"/>
  <c r="M327" i="1"/>
  <c r="N327" i="1"/>
  <c r="L334" i="1"/>
  <c r="J334" i="1"/>
  <c r="M334" i="1"/>
  <c r="N334" i="1"/>
  <c r="M335" i="1"/>
  <c r="N335" i="1"/>
  <c r="L337" i="1"/>
  <c r="M341" i="1"/>
  <c r="N341" i="1"/>
  <c r="L343" i="1"/>
  <c r="L346" i="1"/>
  <c r="J346" i="1"/>
  <c r="M346" i="1"/>
  <c r="N346" i="1"/>
  <c r="M347" i="1"/>
  <c r="N347" i="1"/>
  <c r="L349" i="1"/>
  <c r="K352" i="1"/>
  <c r="L360" i="1"/>
  <c r="K360" i="1"/>
  <c r="J411" i="1"/>
  <c r="M411" i="1"/>
  <c r="N411" i="1"/>
  <c r="L411" i="1"/>
  <c r="L426" i="1"/>
  <c r="K426" i="1"/>
  <c r="K293" i="1"/>
  <c r="K295" i="1"/>
  <c r="K297" i="1"/>
  <c r="K299" i="1"/>
  <c r="K301" i="1"/>
  <c r="K305" i="1"/>
  <c r="K307" i="1"/>
  <c r="K309" i="1"/>
  <c r="K311" i="1"/>
  <c r="L322" i="1"/>
  <c r="J322" i="1"/>
  <c r="M322" i="1"/>
  <c r="N322" i="1"/>
  <c r="M323" i="1"/>
  <c r="N323" i="1"/>
  <c r="L328" i="1"/>
  <c r="J328" i="1"/>
  <c r="M328" i="1"/>
  <c r="N328" i="1"/>
  <c r="M329" i="1"/>
  <c r="N329" i="1"/>
  <c r="L331" i="1"/>
  <c r="L336" i="1"/>
  <c r="J336" i="1"/>
  <c r="M336" i="1"/>
  <c r="N336" i="1"/>
  <c r="M337" i="1"/>
  <c r="N337" i="1"/>
  <c r="L339" i="1"/>
  <c r="L342" i="1"/>
  <c r="J342" i="1"/>
  <c r="M342" i="1"/>
  <c r="N342" i="1"/>
  <c r="M343" i="1"/>
  <c r="N343" i="1"/>
  <c r="L348" i="1"/>
  <c r="J348" i="1"/>
  <c r="M348" i="1"/>
  <c r="N348" i="1"/>
  <c r="M349" i="1"/>
  <c r="N349" i="1"/>
  <c r="L381" i="1"/>
  <c r="J381" i="1"/>
  <c r="M381" i="1"/>
  <c r="N381" i="1"/>
  <c r="K312" i="1"/>
  <c r="L316" i="1"/>
  <c r="J316" i="1"/>
  <c r="M316" i="1"/>
  <c r="N316" i="1"/>
  <c r="M317" i="1"/>
  <c r="N317" i="1"/>
  <c r="K323" i="1"/>
  <c r="L324" i="1"/>
  <c r="J324" i="1"/>
  <c r="M324" i="1"/>
  <c r="N324" i="1"/>
  <c r="K329" i="1"/>
  <c r="L330" i="1"/>
  <c r="J330" i="1"/>
  <c r="M330" i="1"/>
  <c r="N330" i="1"/>
  <c r="M331" i="1"/>
  <c r="L333" i="1"/>
  <c r="K337" i="1"/>
  <c r="L338" i="1"/>
  <c r="J338" i="1"/>
  <c r="M338" i="1"/>
  <c r="N338" i="1"/>
  <c r="M339" i="1"/>
  <c r="K343" i="1"/>
  <c r="L344" i="1"/>
  <c r="J344" i="1"/>
  <c r="M344" i="1"/>
  <c r="N344" i="1"/>
  <c r="K349" i="1"/>
  <c r="L366" i="1"/>
  <c r="K366" i="1"/>
  <c r="L376" i="1"/>
  <c r="K376" i="1"/>
  <c r="L313" i="1"/>
  <c r="L317" i="1"/>
  <c r="L319" i="1"/>
  <c r="L321" i="1"/>
  <c r="L323" i="1"/>
  <c r="L327" i="1"/>
  <c r="L329" i="1"/>
  <c r="L351" i="1"/>
  <c r="J351" i="1"/>
  <c r="M351" i="1"/>
  <c r="N351" i="1"/>
  <c r="M352" i="1"/>
  <c r="N352" i="1"/>
  <c r="L359" i="1"/>
  <c r="J359" i="1"/>
  <c r="M359" i="1"/>
  <c r="N359" i="1"/>
  <c r="M360" i="1"/>
  <c r="N360" i="1"/>
  <c r="L362" i="1"/>
  <c r="M366" i="1"/>
  <c r="N366" i="1"/>
  <c r="L368" i="1"/>
  <c r="L371" i="1"/>
  <c r="J371" i="1"/>
  <c r="M371" i="1"/>
  <c r="N371" i="1"/>
  <c r="M372" i="1"/>
  <c r="N372" i="1"/>
  <c r="M376" i="1"/>
  <c r="N376" i="1"/>
  <c r="L378" i="1"/>
  <c r="N402" i="1"/>
  <c r="J429" i="1"/>
  <c r="M429" i="1"/>
  <c r="N429" i="1"/>
  <c r="L429" i="1"/>
  <c r="K314" i="1"/>
  <c r="K316" i="1"/>
  <c r="K318" i="1"/>
  <c r="K320" i="1"/>
  <c r="K322" i="1"/>
  <c r="K324" i="1"/>
  <c r="K326" i="1"/>
  <c r="K328" i="1"/>
  <c r="K330" i="1"/>
  <c r="K332" i="1"/>
  <c r="K334" i="1"/>
  <c r="K336" i="1"/>
  <c r="K338" i="1"/>
  <c r="K342" i="1"/>
  <c r="K344" i="1"/>
  <c r="K346" i="1"/>
  <c r="K348" i="1"/>
  <c r="L353" i="1"/>
  <c r="J353" i="1"/>
  <c r="M353" i="1"/>
  <c r="N353" i="1"/>
  <c r="M354" i="1"/>
  <c r="N354" i="1"/>
  <c r="L361" i="1"/>
  <c r="J361" i="1"/>
  <c r="M361" i="1"/>
  <c r="N361" i="1"/>
  <c r="M362" i="1"/>
  <c r="N362" i="1"/>
  <c r="L364" i="1"/>
  <c r="L367" i="1"/>
  <c r="J367" i="1"/>
  <c r="M367" i="1"/>
  <c r="N367" i="1"/>
  <c r="M368" i="1"/>
  <c r="N368" i="1"/>
  <c r="L373" i="1"/>
  <c r="J373" i="1"/>
  <c r="M373" i="1"/>
  <c r="N373" i="1"/>
  <c r="L377" i="1"/>
  <c r="J377" i="1"/>
  <c r="M377" i="1"/>
  <c r="N377" i="1"/>
  <c r="M378" i="1"/>
  <c r="N378" i="1"/>
  <c r="L380" i="1"/>
  <c r="L386" i="1"/>
  <c r="J417" i="1"/>
  <c r="M417" i="1"/>
  <c r="N417" i="1"/>
  <c r="L417" i="1"/>
  <c r="K432" i="1"/>
  <c r="K354" i="1"/>
  <c r="L355" i="1"/>
  <c r="J355" i="1"/>
  <c r="M355" i="1"/>
  <c r="N355" i="1"/>
  <c r="M356" i="1"/>
  <c r="N356" i="1"/>
  <c r="L358" i="1"/>
  <c r="K362" i="1"/>
  <c r="L363" i="1"/>
  <c r="J363" i="1"/>
  <c r="M363" i="1"/>
  <c r="N363" i="1"/>
  <c r="M364" i="1"/>
  <c r="K368" i="1"/>
  <c r="L369" i="1"/>
  <c r="J369" i="1"/>
  <c r="M369" i="1"/>
  <c r="N369" i="1"/>
  <c r="K378" i="1"/>
  <c r="L379" i="1"/>
  <c r="J379" i="1"/>
  <c r="M379" i="1"/>
  <c r="N379" i="1"/>
  <c r="L420" i="1"/>
  <c r="K420" i="1"/>
  <c r="L350" i="1"/>
  <c r="L352" i="1"/>
  <c r="L354" i="1"/>
  <c r="L356" i="1"/>
  <c r="L389" i="1"/>
  <c r="N397" i="1"/>
  <c r="L408" i="1"/>
  <c r="L414" i="1"/>
  <c r="J419" i="1"/>
  <c r="M419" i="1"/>
  <c r="N419" i="1"/>
  <c r="L419" i="1"/>
  <c r="M420" i="1"/>
  <c r="N420" i="1"/>
  <c r="L422" i="1"/>
  <c r="J425" i="1"/>
  <c r="M425" i="1"/>
  <c r="N425" i="1"/>
  <c r="L425" i="1"/>
  <c r="M426" i="1"/>
  <c r="N426" i="1"/>
  <c r="J431" i="1"/>
  <c r="M431" i="1"/>
  <c r="N431" i="1"/>
  <c r="L431" i="1"/>
  <c r="L432" i="1"/>
  <c r="K351" i="1"/>
  <c r="K353" i="1"/>
  <c r="K355" i="1"/>
  <c r="K357" i="1"/>
  <c r="K359" i="1"/>
  <c r="K361" i="1"/>
  <c r="K363" i="1"/>
  <c r="K367" i="1"/>
  <c r="K369" i="1"/>
  <c r="K371" i="1"/>
  <c r="K373" i="1"/>
  <c r="K377" i="1"/>
  <c r="K379" i="1"/>
  <c r="K381" i="1"/>
  <c r="L388" i="1"/>
  <c r="N398" i="1"/>
  <c r="N399" i="1"/>
  <c r="M408" i="1"/>
  <c r="N408" i="1"/>
  <c r="L410" i="1"/>
  <c r="J413" i="1"/>
  <c r="M413" i="1"/>
  <c r="N413" i="1"/>
  <c r="L413" i="1"/>
  <c r="M414" i="1"/>
  <c r="N414" i="1"/>
  <c r="L416" i="1"/>
  <c r="J421" i="1"/>
  <c r="M421" i="1"/>
  <c r="N421" i="1"/>
  <c r="L421" i="1"/>
  <c r="M422" i="1"/>
  <c r="N422" i="1"/>
  <c r="L428" i="1"/>
  <c r="L390" i="1"/>
  <c r="L392" i="1"/>
  <c r="N400" i="1"/>
  <c r="K408" i="1"/>
  <c r="J409" i="1"/>
  <c r="M409" i="1"/>
  <c r="N409" i="1"/>
  <c r="L409" i="1"/>
  <c r="M410" i="1"/>
  <c r="N410" i="1"/>
  <c r="K414" i="1"/>
  <c r="J415" i="1"/>
  <c r="M415" i="1"/>
  <c r="N415" i="1"/>
  <c r="L415" i="1"/>
  <c r="M416" i="1"/>
  <c r="L418" i="1"/>
  <c r="K422" i="1"/>
  <c r="J423" i="1"/>
  <c r="M423" i="1"/>
  <c r="N423" i="1"/>
  <c r="L423" i="1"/>
  <c r="M428" i="1"/>
  <c r="N428" i="1"/>
  <c r="L430" i="1"/>
  <c r="K409" i="1"/>
  <c r="K411" i="1"/>
  <c r="K413" i="1"/>
  <c r="K415" i="1"/>
  <c r="K417" i="1"/>
  <c r="K419" i="1"/>
  <c r="K421" i="1"/>
  <c r="K423" i="1"/>
  <c r="K425" i="1"/>
  <c r="K429" i="1"/>
  <c r="K431" i="1"/>
  <c r="J432" i="1"/>
  <c r="M432" i="1"/>
  <c r="N432" i="1"/>
  <c r="J434" i="1"/>
  <c r="M434" i="1"/>
  <c r="N434" i="1"/>
  <c r="K434" i="1"/>
  <c r="K433" i="1"/>
  <c r="N98" i="1"/>
  <c r="N288" i="1"/>
  <c r="N364" i="1"/>
  <c r="N135" i="1"/>
  <c r="K47" i="1"/>
  <c r="N380" i="1"/>
  <c r="N392" i="1"/>
  <c r="N204" i="1"/>
  <c r="N108" i="1"/>
  <c r="L47" i="1"/>
  <c r="N186" i="1"/>
  <c r="N224" i="1"/>
  <c r="N142" i="1"/>
  <c r="N282" i="1"/>
  <c r="N263" i="1"/>
  <c r="N289" i="1"/>
  <c r="N259" i="1"/>
  <c r="N237" i="1"/>
  <c r="N245" i="1"/>
  <c r="N220" i="1"/>
  <c r="N141" i="1"/>
  <c r="N50" i="1"/>
  <c r="N403" i="1"/>
  <c r="K112" i="1"/>
  <c r="N273" i="1"/>
  <c r="N196" i="1"/>
  <c r="N275" i="1"/>
  <c r="N277" i="1"/>
  <c r="N126" i="1"/>
  <c r="N105" i="1"/>
  <c r="N91" i="1"/>
  <c r="N384" i="1"/>
  <c r="N53" i="1"/>
  <c r="N243" i="1"/>
  <c r="N261" i="1"/>
  <c r="N389" i="1"/>
  <c r="N306" i="1"/>
  <c r="N217" i="1"/>
  <c r="N83" i="1"/>
  <c r="N287" i="1"/>
  <c r="N241" i="1"/>
  <c r="N234" i="1"/>
  <c r="N206" i="1"/>
  <c r="N176" i="1"/>
  <c r="N138" i="1"/>
  <c r="N286" i="1"/>
  <c r="N155" i="1"/>
  <c r="N225" i="1"/>
  <c r="N279" i="1"/>
  <c r="N271" i="1"/>
  <c r="N178" i="1"/>
  <c r="N228" i="1"/>
  <c r="N212" i="1"/>
  <c r="N150" i="1"/>
  <c r="N66" i="1"/>
  <c r="N387" i="1"/>
  <c r="N121" i="1"/>
  <c r="N248" i="1"/>
  <c r="N280" i="1"/>
  <c r="N143" i="1"/>
  <c r="K223" i="1"/>
  <c r="K35" i="1"/>
  <c r="N247" i="1"/>
  <c r="N222" i="1"/>
  <c r="N208" i="1"/>
  <c r="N158" i="1"/>
  <c r="N123" i="1"/>
  <c r="N56" i="1"/>
  <c r="N156" i="1"/>
  <c r="N99" i="1"/>
  <c r="N95" i="1"/>
  <c r="N111" i="1"/>
  <c r="N227" i="1"/>
  <c r="N393" i="1"/>
  <c r="N238" i="1"/>
  <c r="N184" i="1"/>
  <c r="N131" i="1"/>
  <c r="N110" i="1"/>
  <c r="N129" i="1"/>
  <c r="N101" i="1"/>
  <c r="N113" i="1"/>
  <c r="L13" i="1"/>
  <c r="N103" i="1"/>
  <c r="N140" i="1"/>
  <c r="N418" i="1"/>
  <c r="N358" i="1"/>
  <c r="N21" i="1"/>
  <c r="N386" i="1"/>
  <c r="N339" i="1"/>
  <c r="N257" i="1"/>
  <c r="N251" i="1"/>
  <c r="N221" i="1"/>
  <c r="N180" i="1"/>
  <c r="N190" i="1"/>
  <c r="N148" i="1"/>
  <c r="N116" i="1"/>
  <c r="N52" i="1"/>
  <c r="N100" i="1"/>
  <c r="N84" i="1"/>
  <c r="N157" i="1"/>
  <c r="N147" i="1"/>
  <c r="N139" i="1"/>
  <c r="N96" i="1"/>
  <c r="N401" i="1"/>
  <c r="N219" i="1"/>
  <c r="N246" i="1"/>
  <c r="N300" i="1"/>
  <c r="N153" i="1"/>
  <c r="K122" i="1"/>
  <c r="N416" i="1"/>
  <c r="N331" i="1"/>
  <c r="N226" i="1"/>
  <c r="N210" i="1"/>
  <c r="N285" i="1"/>
  <c r="N269" i="1"/>
  <c r="N232" i="1"/>
  <c r="N124" i="1"/>
  <c r="N60" i="1"/>
  <c r="N152" i="1"/>
  <c r="N144" i="1"/>
  <c r="K230" i="1"/>
  <c r="N133" i="1"/>
  <c r="N125" i="1"/>
  <c r="N385" i="1"/>
  <c r="N394" i="1"/>
  <c r="N164" i="1"/>
  <c r="N391" i="1"/>
  <c r="N14" i="1"/>
  <c r="N109" i="1"/>
  <c r="N235" i="1"/>
  <c r="K107" i="1"/>
  <c r="K18" i="1"/>
  <c r="N128" i="1"/>
  <c r="N97" i="1"/>
  <c r="N298" i="1"/>
  <c r="K151" i="1"/>
  <c r="K127" i="1"/>
  <c r="N145" i="1"/>
  <c r="N182" i="1"/>
  <c r="N160" i="1"/>
  <c r="N304" i="1"/>
  <c r="K102" i="1"/>
  <c r="N278" i="1"/>
  <c r="N38" i="1"/>
  <c r="N137" i="1"/>
  <c r="N194" i="1"/>
  <c r="N159" i="1"/>
  <c r="N130" i="1"/>
  <c r="N31" i="1"/>
  <c r="N30" i="1"/>
  <c r="M18" i="1"/>
  <c r="N430" i="1"/>
  <c r="N292" i="1"/>
  <c r="N333" i="1"/>
  <c r="K93" i="1"/>
  <c r="K118" i="1"/>
  <c r="N233" i="1"/>
  <c r="N187" i="1"/>
  <c r="N119" i="1"/>
  <c r="N48" i="1"/>
  <c r="L40" i="1"/>
  <c r="L201" i="1"/>
  <c r="L35" i="1"/>
  <c r="L107" i="1"/>
  <c r="L122" i="1"/>
  <c r="L82" i="1"/>
  <c r="L18" i="1"/>
  <c r="L412" i="1"/>
  <c r="L370" i="1"/>
  <c r="L365" i="1"/>
  <c r="L325" i="1"/>
  <c r="L303" i="1"/>
  <c r="L283" i="1"/>
  <c r="L163" i="1"/>
  <c r="L173" i="1"/>
  <c r="L151" i="1"/>
  <c r="L88" i="1"/>
  <c r="L26" i="1"/>
  <c r="L291" i="1"/>
  <c r="L223" i="1"/>
  <c r="L112" i="1"/>
  <c r="L127" i="1"/>
  <c r="L118" i="1"/>
  <c r="L30" i="1"/>
  <c r="L427" i="1"/>
  <c r="L424" i="1"/>
  <c r="L407" i="1"/>
  <c r="L375" i="1"/>
  <c r="L374" i="1"/>
  <c r="L340" i="1"/>
  <c r="L134" i="1"/>
  <c r="L93" i="1"/>
  <c r="L230" i="1"/>
  <c r="L102" i="1"/>
  <c r="L253" i="1"/>
  <c r="L315" i="1"/>
  <c r="L345" i="1"/>
  <c r="L209" i="1"/>
  <c r="L236" i="1"/>
  <c r="N19" i="1"/>
  <c r="M26" i="1"/>
  <c r="N26" i="1"/>
  <c r="N28" i="1"/>
  <c r="M161" i="1"/>
  <c r="N161" i="1"/>
  <c r="N162" i="1"/>
  <c r="M35" i="1"/>
  <c r="N36" i="1"/>
  <c r="K82" i="1"/>
  <c r="K209" i="1"/>
  <c r="K40" i="1"/>
  <c r="K88" i="1"/>
  <c r="M58" i="1"/>
  <c r="N58" i="1"/>
  <c r="K427" i="1"/>
  <c r="K424" i="1"/>
  <c r="K291" i="1"/>
  <c r="K201" i="1"/>
  <c r="K134" i="1"/>
  <c r="K253" i="1"/>
  <c r="K236" i="1"/>
  <c r="K407" i="1"/>
  <c r="K303" i="1"/>
  <c r="K163" i="1"/>
  <c r="K26" i="1"/>
  <c r="K13" i="1"/>
  <c r="M433" i="1"/>
  <c r="N433" i="1"/>
  <c r="M412" i="1"/>
  <c r="K345" i="1"/>
  <c r="M370" i="1"/>
  <c r="N370" i="1"/>
  <c r="M365" i="1"/>
  <c r="N365" i="1"/>
  <c r="M315" i="1"/>
  <c r="N315" i="1"/>
  <c r="M253" i="1"/>
  <c r="M236" i="1"/>
  <c r="M230" i="1"/>
  <c r="M149" i="1"/>
  <c r="N149" i="1"/>
  <c r="M107" i="1"/>
  <c r="M134" i="1"/>
  <c r="M118" i="1"/>
  <c r="M112" i="1"/>
  <c r="N112" i="1"/>
  <c r="M40" i="1"/>
  <c r="N40" i="1"/>
  <c r="M82" i="1"/>
  <c r="M13" i="1"/>
  <c r="M427" i="1"/>
  <c r="K370" i="1"/>
  <c r="K325" i="1"/>
  <c r="M325" i="1"/>
  <c r="K283" i="1"/>
  <c r="M303" i="1"/>
  <c r="M173" i="1"/>
  <c r="M223" i="1"/>
  <c r="M115" i="1"/>
  <c r="N115" i="1"/>
  <c r="M127" i="1"/>
  <c r="M93" i="1"/>
  <c r="M102" i="1"/>
  <c r="K412" i="1"/>
  <c r="K315" i="1"/>
  <c r="M375" i="1"/>
  <c r="N375" i="1"/>
  <c r="K365" i="1"/>
  <c r="M345" i="1"/>
  <c r="M340" i="1"/>
  <c r="N340" i="1"/>
  <c r="K340" i="1"/>
  <c r="M291" i="1"/>
  <c r="M201" i="1"/>
  <c r="K173" i="1"/>
  <c r="M151" i="1"/>
  <c r="K117" i="1"/>
  <c r="M407" i="1"/>
  <c r="N407" i="1"/>
  <c r="K375" i="1"/>
  <c r="K374" i="1"/>
  <c r="M283" i="1"/>
  <c r="M209" i="1"/>
  <c r="M122" i="1"/>
  <c r="M88" i="1"/>
  <c r="N88" i="1"/>
  <c r="M163" i="1"/>
  <c r="N163" i="1"/>
  <c r="N283" i="1"/>
  <c r="N82" i="1"/>
  <c r="N345" i="1"/>
  <c r="N201" i="1"/>
  <c r="N151" i="1"/>
  <c r="N118" i="1"/>
  <c r="K106" i="1"/>
  <c r="N412" i="1"/>
  <c r="N230" i="1"/>
  <c r="M47" i="1"/>
  <c r="N47" i="1"/>
  <c r="N209" i="1"/>
  <c r="N236" i="1"/>
  <c r="N102" i="1"/>
  <c r="N223" i="1"/>
  <c r="K92" i="1"/>
  <c r="N93" i="1"/>
  <c r="N303" i="1"/>
  <c r="N396" i="1"/>
  <c r="N291" i="1"/>
  <c r="N107" i="1"/>
  <c r="N253" i="1"/>
  <c r="N383" i="1"/>
  <c r="N127" i="1"/>
  <c r="N18" i="1"/>
  <c r="N134" i="1"/>
  <c r="N325" i="1"/>
  <c r="N122" i="1"/>
  <c r="N173" i="1"/>
  <c r="N13" i="1"/>
  <c r="N35" i="1"/>
  <c r="N64" i="1"/>
  <c r="L106" i="1"/>
  <c r="L117" i="1"/>
  <c r="L39" i="1"/>
  <c r="L29" i="1"/>
  <c r="K172" i="1"/>
  <c r="L382" i="1"/>
  <c r="M424" i="1"/>
  <c r="N424" i="1"/>
  <c r="N427" i="1"/>
  <c r="L92" i="1"/>
  <c r="L229" i="1"/>
  <c r="L172" i="1"/>
  <c r="K39" i="1"/>
  <c r="K29" i="1"/>
  <c r="K229" i="1"/>
  <c r="M106" i="1"/>
  <c r="N106" i="1"/>
  <c r="M229" i="1"/>
  <c r="K382" i="1"/>
  <c r="M92" i="1"/>
  <c r="N92" i="1"/>
  <c r="M117" i="1"/>
  <c r="N117" i="1"/>
  <c r="M374" i="1"/>
  <c r="N374" i="1"/>
  <c r="M172" i="1"/>
  <c r="N172" i="1"/>
  <c r="K4" i="1"/>
  <c r="K3" i="1"/>
  <c r="N229" i="1"/>
  <c r="M39" i="1"/>
  <c r="N39" i="1"/>
  <c r="M382" i="1"/>
  <c r="N382" i="1"/>
  <c r="L435" i="1"/>
  <c r="M29" i="1"/>
  <c r="M435" i="1"/>
  <c r="K6" i="1"/>
  <c r="K7" i="1"/>
  <c r="N29" i="1"/>
  <c r="K5" i="1"/>
</calcChain>
</file>

<file path=xl/sharedStrings.xml><?xml version="1.0" encoding="utf-8"?>
<sst xmlns="http://schemas.openxmlformats.org/spreadsheetml/2006/main" count="2168" uniqueCount="1268">
  <si>
    <t>OBRA: CONSTRUÇÃO E REFORMA DA NOVA SEDE DA CÂMARA MUNICIPAL DE JOÃO PESSOA - PB</t>
  </si>
  <si>
    <t>Valor do contrato inicial:</t>
  </si>
  <si>
    <t>LOCAL: RUA DAS TRINCHEIRAS, CENTRO, JOÃO PESSOA/PB</t>
  </si>
  <si>
    <t>Valor medido acumulado anterior:</t>
  </si>
  <si>
    <t>EMPRESA: SG INCORPORAÇÃO, CONSTRUÇÃO E PLANEJAMENTO LTDA</t>
  </si>
  <si>
    <t>Valor medição atual:</t>
  </si>
  <si>
    <t>CONTRATO 35/2023</t>
  </si>
  <si>
    <t>Valor medido acumulado atual:</t>
  </si>
  <si>
    <t>CONCORRÊNCIA 02/2023</t>
  </si>
  <si>
    <t>Valor do saldo contratual:</t>
  </si>
  <si>
    <t>PLANILHA DE MEDIÇÃO</t>
  </si>
  <si>
    <t>ITEM</t>
  </si>
  <si>
    <t>DESCRIÇÃO</t>
  </si>
  <si>
    <t>UND</t>
  </si>
  <si>
    <t>CONTRATUAL</t>
  </si>
  <si>
    <t>QUANTIDADE</t>
  </si>
  <si>
    <t>VALOR</t>
  </si>
  <si>
    <t>QUANT.</t>
  </si>
  <si>
    <t>Valor Unit</t>
  </si>
  <si>
    <t>VALOR UNIT. C/ BDI</t>
  </si>
  <si>
    <t>TOTAL</t>
  </si>
  <si>
    <t>ANTERIOR</t>
  </si>
  <si>
    <t>ATUAL</t>
  </si>
  <si>
    <t>ACUMULADO</t>
  </si>
  <si>
    <t xml:space="preserve"> 1 </t>
  </si>
  <si>
    <t>ADMINISTRAÇÃO LOCAL DA OBRA</t>
  </si>
  <si>
    <t xml:space="preserve"> 1.1 </t>
  </si>
  <si>
    <t>ADMINISTRAÇÃO LOCAL DE OBRA</t>
  </si>
  <si>
    <t>UN</t>
  </si>
  <si>
    <t xml:space="preserve"> 1.2 </t>
  </si>
  <si>
    <t>FORNECIMENTO E INSTALAÇÃO DE PLACA DE OBRA COM CHAPA GALVANIZADA E ESTRUTURA DE MADEIRA. AF_03/2022_PS</t>
  </si>
  <si>
    <t>M²</t>
  </si>
  <si>
    <t xml:space="preserve"> 1.3 </t>
  </si>
  <si>
    <t>TAXA DO CREA PARA OBRA OU SERVIÇO</t>
  </si>
  <si>
    <t xml:space="preserve"> 1.4 </t>
  </si>
  <si>
    <t>"AS BUILT" DOS PROJETOS EXECUTADOS</t>
  </si>
  <si>
    <t xml:space="preserve"> 2 </t>
  </si>
  <si>
    <t>SERVIÇOS PRELIMINARES / CANTEIRO DE OBRAS</t>
  </si>
  <si>
    <t xml:space="preserve"> 2.1 </t>
  </si>
  <si>
    <t>EXECUÇÃO DE REFEITÓRIO EM CANTEIRO DE OBRA EM ALVENARIA, NÃO INCLUSO MOBILIÁRIO E EQUIPAMENTOS. AF_02/2016</t>
  </si>
  <si>
    <t xml:space="preserve"> 2.2 </t>
  </si>
  <si>
    <t>EXECUÇÃO DE SANITÁRIO E VESTIÁRIO EM CANTEIRO DE OBRA EM ALVENARIA, NÃO INCLUSO MOBILIÁRIO. AF_02/2016</t>
  </si>
  <si>
    <t xml:space="preserve"> 2.3 </t>
  </si>
  <si>
    <t>EXECUÇÃO DE ALMOXARIFADO EM CANTEIRO DE OBRA EM ALVENARIA, INCLUSO PRATELEIRAS. AF_02/2016</t>
  </si>
  <si>
    <t xml:space="preserve"> 2.4 </t>
  </si>
  <si>
    <t>LOCACAO CONVENCIONAL DE OBRA, UTILIZANDO GABARITO DE TÁBUAS CORRIDAS PONTALETADAS A CADA 2,00M -  2 UTILIZAÇÕES. AF_10/2018</t>
  </si>
  <si>
    <t>M</t>
  </si>
  <si>
    <t xml:space="preserve"> 2.5 </t>
  </si>
  <si>
    <t>TAPUME COM TELHA METÁLICA. AF_05/2018</t>
  </si>
  <si>
    <t xml:space="preserve"> 2.6 </t>
  </si>
  <si>
    <t>LIMPEZA MECANIZADA DE CAMADA VEGETAL, VEGETAÇÃO E PEQUENAS ÁRVORES (DIÂMETRO DE TRONCO MENOR QUE 0,20 M), COM TRATOR DE ESTEIRAS.AF_05/2018</t>
  </si>
  <si>
    <t xml:space="preserve"> 2.7 </t>
  </si>
  <si>
    <t>LIGAÇÃO PREDIAL DE ÁGUA EM MURETA DE CONCRETO, PROVISÓRIA OU DEFINITIVA, COM FORNECIMENTO DE MATERIAL, INCLUSIVE MURETA E HIDRÕMETRO, REDE DN 50MM - REV 03_10/2022</t>
  </si>
  <si>
    <t xml:space="preserve"> 3 </t>
  </si>
  <si>
    <t>DEMOLIÇÕES</t>
  </si>
  <si>
    <t xml:space="preserve"> 3.1 </t>
  </si>
  <si>
    <t>DEMOLIÇÃO PARCIAL DE PAVIMENTO ASFÁLTICO, DE FORMA MECANIZADA, SEM REAPROVEITAMENTO. AF_12/2017</t>
  </si>
  <si>
    <t xml:space="preserve"> 3.2</t>
  </si>
  <si>
    <t>DEMOLIÇÃO DE ALVENARIA DE BLOCO FURADO, DE FORMA MANUAL, SEM REAPROVEITAMENTO. AF_12/2017</t>
  </si>
  <si>
    <t>M³</t>
  </si>
  <si>
    <t xml:space="preserve"> 4 </t>
  </si>
  <si>
    <t>INFRAESTRUTURA</t>
  </si>
  <si>
    <t xml:space="preserve"> 4.1 </t>
  </si>
  <si>
    <t>MOVIMENTO DE TERRA</t>
  </si>
  <si>
    <t xml:space="preserve"> 4.1.1 </t>
  </si>
  <si>
    <t>ESCAVAÇÃO HORIZONTAL, INCLUINDO ESCARIFICAÇÃO, CARGA, DESCARGA E TRANSPORTE EM SOLO DE 2A CATEGORIA COM TRATOR DE ESTEIRAS (150HP/LÂMINA: 3,18M3) E CAMINHÃO BASCULANTE DE 10M3, DMT ATÉ 200M. AF_07/2020</t>
  </si>
  <si>
    <t xml:space="preserve"> 4.1.2 </t>
  </si>
  <si>
    <t>ESCAVAÇÃO VERTICAL PARA  EDIFICAÇÃO, COM CARGA, DESCARGA E TRANSPORTE DE SOLO DE 1ª CATEGORIA, COM ESCAVADEIRA HIDRÁULICA (CAÇAMBA: 0,8 M³ / 111HP), FROTA DE 9 CAMINHÕES BASCULANTES DE 10 M³, DMT DE 6 KM E VELOCIDADE MÉDIA 22 KM/H. AF_05/2020</t>
  </si>
  <si>
    <t xml:space="preserve"> 4.1.3 </t>
  </si>
  <si>
    <t>TRANSPORTE COM CAMINHÃO BASCULANTE DE 10 M³, EM VIA URBANA PAVIMENTADA, DMT ATÉ 30 KM (UNIDADE: M3XKM). AF_07/2020</t>
  </si>
  <si>
    <t>M3XKM</t>
  </si>
  <si>
    <t xml:space="preserve"> 4.1.4 </t>
  </si>
  <si>
    <t>CARGA, MANOBRA E DESCARGA DE SOLOS E MATERIAIS GRANULARES EM CAMINHÃO BASCULANTE 10 M³ - CARGA COM PÁ CARREGADEIRA (CAÇAMBA DE 1,7 A 2,8 M³ / 128 HP) E DESCARGA LIVRE (UNIDADE: M3). AF_07/2020</t>
  </si>
  <si>
    <t xml:space="preserve"> 4.2 </t>
  </si>
  <si>
    <t>CORTINA DE CONTENÇÃO</t>
  </si>
  <si>
    <t xml:space="preserve"> 4.2.1 </t>
  </si>
  <si>
    <t>CORTINA DE CONTENÇÃO, BASE CIRCULAR DIÂMETRO 0.30M EM CONCRETO BOMBEÁVEL, INCLUSIVE FERRAGEM, CONCRETO, LANÇAMENTO COM BOMBA [BASEADO EM SINAPI 100651]</t>
  </si>
  <si>
    <t xml:space="preserve"> 4.2.2 </t>
  </si>
  <si>
    <t>ARMAÇÃO DE CINTA DE ALVENARIA ESTRUTURAL; DIÂMETRO DE 10,0 MM. AF_09/2021</t>
  </si>
  <si>
    <t>KG</t>
  </si>
  <si>
    <t xml:space="preserve"> 4.2.3 </t>
  </si>
  <si>
    <t>ARMAÇÃO UTILIZANDO AÇO CA-25 DE 6,3 MM - MONTAGEM. AF_06/2022</t>
  </si>
  <si>
    <t xml:space="preserve"> 4.3 </t>
  </si>
  <si>
    <t>FUNDAÇÃO</t>
  </si>
  <si>
    <t xml:space="preserve"> 4.3.1 </t>
  </si>
  <si>
    <t>ESTACAS</t>
  </si>
  <si>
    <t xml:space="preserve"> 4.3.1.1 </t>
  </si>
  <si>
    <t>ESTACA HÉLICE CONTÍNUA, DIÂMETRO DE 30 CM, INCLUSO CONCRETO FCK=30MPA E ARMADURA MÍNIMA (EXCLUSIVE MOBILIZAÇÃO, DESMOBILIZAÇÃO E BOMBEAMENTO). AF_12/2019</t>
  </si>
  <si>
    <t xml:space="preserve"> 4.3.1.2 </t>
  </si>
  <si>
    <t>LANÇAMENTO COM USO DE BOMBA, ADENSAMENTO E ACABAMENTO DE CONCRETO EM ESTRUTURAS. AF_02/2022</t>
  </si>
  <si>
    <t xml:space="preserve"> 4.3.2 </t>
  </si>
  <si>
    <t>BLOCO DE COROAMENTO/ VIGA BALDRAME</t>
  </si>
  <si>
    <t xml:space="preserve"> 4.3.2.1 </t>
  </si>
  <si>
    <t>CONCRETAGEM DE BLOCOS DE COROAMENTO E VIGAS BALDRAMES, FCK 30 MPA, COM USO DE BOMBA  LANÇAMENTO, ADENSAMENTO E ACABAMENTO. AF_06/2017</t>
  </si>
  <si>
    <t xml:space="preserve"> 4.3.2.2 </t>
  </si>
  <si>
    <t>ESCAVAÇÃO MANUAL PARA BLOCO DE COROAMENTO OU SAPATA (INCLUINDO ESCAVAÇÃO PARA COLOCAÇÃO DE FÔRMAS). AF_06/2017</t>
  </si>
  <si>
    <t xml:space="preserve"> 4.3.2.3 </t>
  </si>
  <si>
    <t>FABRICAÇÃO, MONTAGEM E DESMONTAGEM DE FÔRMA PARA BLOCO DE COROAMENTO, EM CHAPA DE MADEIRA COMPENSADA RESINADA, E=17 MM, 4 UTILIZAÇÕES. AF_06/2017</t>
  </si>
  <si>
    <t xml:space="preserve"> 4.3.2.4 </t>
  </si>
  <si>
    <t>ESCAVAÇÃO MANUAL DE VALA COM PROFUNDIDADE MENOR OU IGUAL A 1,30 M. AF_02/2021</t>
  </si>
  <si>
    <t xml:space="preserve"> 4.3.2.5 </t>
  </si>
  <si>
    <t>CAMADA SEPARADORA PARA EXECUÇÃO DE RADIER, PISO DE CONCRETO OU LAJE SOBRE SOLO, EM LONA PLÁSTICA. AF_09/2021</t>
  </si>
  <si>
    <t xml:space="preserve"> 4.3.2.6 </t>
  </si>
  <si>
    <t>ARMAÇÃO DE PILAR OU VIGA DE ESTRUTURA CONVENCIONAL DE CONCRETO ARMADO UTILIZANDO AÇO CA-50 DE 10,0 MM - MONTAGEM. AF_06/2022</t>
  </si>
  <si>
    <t xml:space="preserve"> 4.3.2.7 </t>
  </si>
  <si>
    <t>ARMAÇÃO DE BLOCO, VIGA BALDRAME OU SAPATA UTILIZANDO AÇO CA-50 DE 12,5 MM - MONTAGEM. AF_06/2017</t>
  </si>
  <si>
    <t xml:space="preserve"> 4.3.2.8 </t>
  </si>
  <si>
    <t>ARMAÇÃO DE BLOCO, VIGA BALDRAME OU SAPATA UTILIZANDO AÇO CA-50 DE 16 MM - MONTAGEM. AF_06/2017</t>
  </si>
  <si>
    <t xml:space="preserve"> 4.3.2.9 </t>
  </si>
  <si>
    <t>ARMAÇÃO DE BLOCO, VIGA BALDRAME OU SAPATA UTILIZANDO AÇO CA-50 DE 6,3 MM - MONTAGEM. AF_06/2017</t>
  </si>
  <si>
    <t xml:space="preserve"> 4.3.2.10 </t>
  </si>
  <si>
    <t>CONCRETO MAGRO PARA LASTRO, TRAÇO 1:4,5:4,5 (EM MASSA SECA DE CIMENTO/ AREIA MÉDIA/ BRITA 1) - PREPARO MANUAL. AF_05/2021</t>
  </si>
  <si>
    <t xml:space="preserve"> 4.3.2.11 </t>
  </si>
  <si>
    <t>ARMAÇÃO DE BLOCO, VIGA BALDRAME OU SAPATA UTILIZANDO AÇO CA-50 DE 20 MM - MONTAGEM. AF_06/2017</t>
  </si>
  <si>
    <t xml:space="preserve"> 4.3.2.12 </t>
  </si>
  <si>
    <t>ARMAÇÃO DE BLOCO, VIGA BALDRAME OU SAPATA UTILIZANDO AÇO CA-50 DE 25 MM - MONTAGEM. AF_06/2017</t>
  </si>
  <si>
    <t xml:space="preserve"> 4.3.2.13 </t>
  </si>
  <si>
    <t>ARMAÇÃO DE BLOCO, VIGA BALDRAME OU SAPATA UTILIZANDO AÇO CA-50 DE 8 MM - MONTAGEM. AF_06/2017</t>
  </si>
  <si>
    <t xml:space="preserve"> 4.3.2.14 </t>
  </si>
  <si>
    <t>ARMAÇÃO DE BLOCO, VIGA BALDRAME E SAPATA UTILIZANDO AÇO CA-60 DE 5 MM - MONTAGEM. AF_06/2017</t>
  </si>
  <si>
    <t xml:space="preserve"> 5 </t>
  </si>
  <si>
    <t>ESTRUTURAS</t>
  </si>
  <si>
    <t xml:space="preserve"> 5.1 </t>
  </si>
  <si>
    <t>ARMAÇÃO PARA EXECUÇÃO DE RADIER, PISO DE CONCRETO OU LAJE SOBRE SOLO, COM USO DE TELA Q-92. AF_09/2021</t>
  </si>
  <si>
    <t xml:space="preserve"> 5.2 </t>
  </si>
  <si>
    <t>COMPOSIÇÃO PARAMÉTRICA PARA FORNECIMENTO E MONTAGEM DE ESTRUTURA METÁLICA PARA ESTRUTURA PRINCIPAL DE EDIFICAÇÕES (PILARES, VIGAS E CONTRAVENTAMENTO). AF_11/2022</t>
  </si>
  <si>
    <t xml:space="preserve"> 5.3 </t>
  </si>
  <si>
    <t>LAJE TIPO MACIÇA PREMOLDADA PARA PISO CARGA 350kg/m2 VAO 3,5m ALTURA E SOBRECARGA ,CONFORME PROJETO INSTALADA</t>
  </si>
  <si>
    <t xml:space="preserve"> 5.4 </t>
  </si>
  <si>
    <t>(MODIFICADO) PLACA DE , (POLIESTIRENO EXPANDIDO/EPS (ISOPOR), TIPO 2F, BLOCO) APLICADO</t>
  </si>
  <si>
    <t xml:space="preserve"> 5.5 </t>
  </si>
  <si>
    <t>CONCRETAGEM DE EDIFICAÇÕES (PAREDES E LAJES) , COM CONCRETO USINADO BOMBEÁVEL FCK 30 MPA - LANÇAMENTO, ADENSAMENTO E ACABAMENTO</t>
  </si>
  <si>
    <t xml:space="preserve"> 6 </t>
  </si>
  <si>
    <t>ALVENARIA E VEDAÇÃO/ DIVISÓRIAS</t>
  </si>
  <si>
    <t xml:space="preserve"> 6.1 </t>
  </si>
  <si>
    <t>ALVENARIA DE VEDAÇÃO DE BLOCOS CERÂMICOS FURADOS NA VERTICAL DE 9X19X39 CM (ESPESSURA 9 CM) E ARGAMASSA DE ASSENTAMENTO COM PREPARO EM BETONEIRA. AF_12/2021</t>
  </si>
  <si>
    <t xml:space="preserve"> 6.2 </t>
  </si>
  <si>
    <t>(modificado)PAREDE COM PLACAS DE GESSO ACARTONADO (DRYWALL), (COM INSTALAÇÃO DE LÃ DE VIDRO),PARA USO INTERNO COM DUAS FACES DUPLAS E ESTRUTURA METÁLICA COM GUIAS DUPLAS, SEM VÃOS. AF_06/2017</t>
  </si>
  <si>
    <t xml:space="preserve"> 6.3 </t>
  </si>
  <si>
    <t>DIVISORIA SANITÁRIA, TIPO CABINE, EM GRANITO CINZA POLIDO, ESP = 3CM, ASSENTADO COM ARGAMASSA COLANTE AC III-E, EXCLUSIVE FERRAGENS. AF_01/2021</t>
  </si>
  <si>
    <t xml:space="preserve"> 6.4 </t>
  </si>
  <si>
    <t>ALVENARIA DE VEDAÇÃO DE BLOCOS CERÂMICOS FURADOS NA HORIZONTAL DE 14X9X19 CM (ESPESSURA 14 CM, BLOCO DEITADO) E ARGAMASSA DE ASSENTAMENTO COM PREPARO MANUAL. AF_12/2021</t>
  </si>
  <si>
    <t xml:space="preserve"> 6.5 </t>
  </si>
  <si>
    <t>DIVISÓRIA FIXA EM VIDRO TEMPERADO 10 MM, SEM ABERTURA. AF_01/2021_PS</t>
  </si>
  <si>
    <t xml:space="preserve"> 7 </t>
  </si>
  <si>
    <t>JUNTA DE DILATAÇÃO</t>
  </si>
  <si>
    <t xml:space="preserve"> 7.1 </t>
  </si>
  <si>
    <t>TRATAMENTO DE JUNTA DE DILATAÇÃO, COM TARUGO DE POLIETILENO E SELANTE PU, INCLUSO PREENCHIMENTO COM ESPUMA EXPANSIVA PU. AF_06/2018</t>
  </si>
  <si>
    <t xml:space="preserve"> 7.2 </t>
  </si>
  <si>
    <t>JUNTA DE DILATAÇÃO PARA APLICAÇÃO EM PISO DE CONCRETO</t>
  </si>
  <si>
    <t xml:space="preserve"> 7.3 </t>
  </si>
  <si>
    <t>IMPERMEABILIZAÇÃO DE JUNTA DE DILATAÇÃO (FACHADA)</t>
  </si>
  <si>
    <t xml:space="preserve"> 8 </t>
  </si>
  <si>
    <t>AR CONDICIONADO</t>
  </si>
  <si>
    <t xml:space="preserve"> 8.1 </t>
  </si>
  <si>
    <t>MATERIAIS (TUBULAÇÃO DE COBRE)</t>
  </si>
  <si>
    <t xml:space="preserve"> 8.1.1 </t>
  </si>
  <si>
    <t>TUBO EM COBRE FLEXÍVEL, DN 1/4", COM ISOLAMENTO, INSTALADO EM FORRO, PARA RAMAL DE ALIMENTAÇÃO DE AR CONDICIONADO, INCLUSO FIXADOR. AF_11/2021</t>
  </si>
  <si>
    <t xml:space="preserve"> 8.1.2 </t>
  </si>
  <si>
    <t>TUBO EM COBRE FLEXÍVEL, DN 1/2", COM ISOLAMENTO, INSTALADO EM FORRO, PARA RAMAL DE ALIMENTAÇÃO DE AR CONDICIONADO, INCLUSO FIXADOR. AF_11/2021</t>
  </si>
  <si>
    <t xml:space="preserve"> 8.1.3 </t>
  </si>
  <si>
    <t>TUBO EM COBRE FLEXÍVEL, DN 3/8", COM ISOLAMENTO, INSTALADO EM FORRO, PARA RAMAL DE ALIMENTAÇÃO DE AR CONDICIONADO, INCLUSO FIXADOR. AF_11/2021</t>
  </si>
  <si>
    <t xml:space="preserve"> 8.1.4 </t>
  </si>
  <si>
    <t>[BASEADO EM SINAPI 103290] TUBO EM COBRE FLEXÍVEL, DN 3/4", COM ISOLAMENTO, INSTALADO EM FORRO, PARA RAMAL DE ALIMENTAÇÃO DE AR CONDICIONADO, INCLUSO FIXADOR.</t>
  </si>
  <si>
    <t xml:space="preserve"> 8.1.5 </t>
  </si>
  <si>
    <t>TUBO EM COBRE FLEXÍVEL, DN 5/8", COM ISOLAMENTO, INSTALADO EM FORRO, PARA RAMAL DE ALIMENTAÇÃO DE AR CONDICIONADO, INCLUSO FIXADOR. AF_11/2021</t>
  </si>
  <si>
    <t xml:space="preserve"> 8.1.6 </t>
  </si>
  <si>
    <t>[BASEADO EM SINAPI 103292] TUBO EM COBRE FLEXÍVEL, DN 7/8", COM ISOLAMENTO, INSTALADO EM FORRO, PARA RAMAL DE ALIMENTAÇÃO DE AR CONDICIONADO, INCLUSO FIXADOR.</t>
  </si>
  <si>
    <t xml:space="preserve"> 8.1.7 </t>
  </si>
  <si>
    <t>[BASEADO EM SINAPI 103290] TUBO EM COBRE FLEXÍVEL, DN 1 5/8 ", COM ISOLAMENTO, INSTALADO EM FORRO, PARA RAMAL DE ALIMENTAÇÃO DE AR CONDICIONADO, INCLUSO FIXADOR</t>
  </si>
  <si>
    <t xml:space="preserve"> 8.1.8</t>
  </si>
  <si>
    <t>COLA PARA TUBOS E MANTAS ELASTOMERICAS, A BASE DE SOLVENTE</t>
  </si>
  <si>
    <t>L</t>
  </si>
  <si>
    <t xml:space="preserve"> 8.2 </t>
  </si>
  <si>
    <t>SISTEMA ELÉTRICO / LÓGICO</t>
  </si>
  <si>
    <t xml:space="preserve"> 8.2.1 </t>
  </si>
  <si>
    <t>ELETRODUTO DE PVC RIGIDO SOLDAVEL, CLASSE B, DE 25 MM</t>
  </si>
  <si>
    <t xml:space="preserve"> 8.2.2 </t>
  </si>
  <si>
    <t>ELETRODUTO EM ACO GALVANIZADO ELETROLITICO, SEMI-PESADO, DIAMETRO 1 1/2", PAREDE DE 1,20 MM</t>
  </si>
  <si>
    <t xml:space="preserve"> 8.2.3 </t>
  </si>
  <si>
    <t>CABO SHIELD BLINDADO 2 VIAS (2X1 mm) PARA SINAL 100 mts  INSTALADO EM ELETROCALHA OU PERFILADO - FORNECIMENTO E INSTALAÇÃO.</t>
  </si>
  <si>
    <t xml:space="preserve"> 9 </t>
  </si>
  <si>
    <t>REVESTIMENTO</t>
  </si>
  <si>
    <t xml:space="preserve"> 9.1 </t>
  </si>
  <si>
    <t>REVESTIMENTO INTERNO</t>
  </si>
  <si>
    <t xml:space="preserve"> 9.1.1 </t>
  </si>
  <si>
    <t>CHAPISCO APLICADO EM ALVENARIA (COM PRESENÇA DE VÃOS) E ESTRUTURAS DE CONCRETO DE FACHADA, COM ROLO PARA TEXTURA ACRÍLICA.  ARGAMASSA TRAÇO 1:4 E EMULSÃO POLIMÉRICA (ADESIVO) COM PREPARO EM BETONEIRA 400L. AF_10/2022</t>
  </si>
  <si>
    <t xml:space="preserve"> 9.1.2 </t>
  </si>
  <si>
    <t>MASSA ÚNICA, PARA RECEBIMENTO DE PINTURA, EM ARGAMASSA TRAÇO 1:2:8, PREPARO MECÂNICO COM BETONEIRA 400L, APLICADA MANUALMENTE EM FACES INTERNAS DE PAREDES, ESPESSURA DE 20MM, COM EXECUÇÃO DE TALISCAS. AF_06/2014</t>
  </si>
  <si>
    <t xml:space="preserve"> 9.1.3 </t>
  </si>
  <si>
    <t>REVESTIMENTO CERÂMICO PARA PAREDES INTERNAS COM PLACAS TIPO ESMALTADA EXTRA DE DIMENSÕES 60X60 CM APLICADAS NA ALTURA INTEIRA DAS PAREDES. AF_02/2023_PE</t>
  </si>
  <si>
    <t xml:space="preserve"> 9.1.4 </t>
  </si>
  <si>
    <t>RODAPÉ EM POLIESTIRENO, ALTURA 5 CM. AF_09/2020</t>
  </si>
  <si>
    <t xml:space="preserve"> 9.2 </t>
  </si>
  <si>
    <t>REVESTIMENTO EXTERNO</t>
  </si>
  <si>
    <t xml:space="preserve"> 9.2.1 </t>
  </si>
  <si>
    <t>EMBOÇO OU MASSA ÚNICA EM ARGAMASSA TRAÇO 1:2:8, PREPARO MANUAL, APLICADA MANUALMENTE EM PANOS CEGOS DE FACHADA (SEM PRESENÇA DE VÃOS), ESPESSURA DE 35 MM. AF_08/2022</t>
  </si>
  <si>
    <t xml:space="preserve"> 9.2.2 </t>
  </si>
  <si>
    <t>CHAPISCO APLICADO EM ALVENARIA (COM PRESENÇA DE VÃOS) E ESTRUTURAS DE CONCRETO DE FACHADA, COM COLHER DE PEDREIRO.  ARGAMASSA TRAÇO 1:3 COM PREPARO EM BETONEIRA 400L. AF_10/2022</t>
  </si>
  <si>
    <t xml:space="preserve"> 9.3 </t>
  </si>
  <si>
    <t>REVESTIMENTO ACÚSTICO</t>
  </si>
  <si>
    <t xml:space="preserve"> 9.3.1 </t>
  </si>
  <si>
    <t>PAINEL DE LA DE VIDRO SEM REVESTIMENTO PSI 20, E = 25 MM, DE 1200 X 600 MM</t>
  </si>
  <si>
    <t xml:space="preserve"> 10 </t>
  </si>
  <si>
    <t>PINTURA</t>
  </si>
  <si>
    <t xml:space="preserve"> 10.1 </t>
  </si>
  <si>
    <t>PINTURA INTERNA</t>
  </si>
  <si>
    <t xml:space="preserve"> 10.1.1 </t>
  </si>
  <si>
    <t>FUNDO SELADOR ACRÍLICO, APLICAÇÃO MANUAL EM PAREDE, UMA DEMÃO. AF_04/2023</t>
  </si>
  <si>
    <t xml:space="preserve"> 10.1.2 </t>
  </si>
  <si>
    <t>EMASSAMENTO COM MASSA LÁTEX, APLICAÇÃO EM PAREDE, DUAS DEMÃOS, LIXAMENTO MANUAL. AF_04/2023</t>
  </si>
  <si>
    <t xml:space="preserve"> 10.1.3 </t>
  </si>
  <si>
    <t>PINTURA LÁTEX ACRÍLICA PREMIUM, APLICAÇÃO MANUAL EM PAREDES, DUAS DEMÃOS. AF_04/2023</t>
  </si>
  <si>
    <t xml:space="preserve"> 10.2 </t>
  </si>
  <si>
    <t>PINTURA EXTERNA</t>
  </si>
  <si>
    <t xml:space="preserve"> 10.2.1 </t>
  </si>
  <si>
    <t>APLICAÇÃO MANUAL DE FUNDO SELADOR ACRÍLICO EM SUPERFÍCIES EXTERNAS DE SACADA DE EDIFÍCIOS DE MÚLTIPLOS PAVIMENTOS. AF_06/2014</t>
  </si>
  <si>
    <t xml:space="preserve"> 10.2.2 </t>
  </si>
  <si>
    <t>APLICAÇÃO MANUAL DE MASSA ACRÍLICA EM PANOS DE FACHADA COM PRESENÇA DE VÃOS, DE EDIFÍCIOS DE MÚLTIPLOS PAVIMENTOS, UMA DEMÃO. AF_05/2017</t>
  </si>
  <si>
    <t xml:space="preserve"> 10.2.3 </t>
  </si>
  <si>
    <t>APLICAÇÃO MANUAL DE PINTURA COM TINTA TEXTURIZADA ACRÍLICA EM SUPERFÍCIES EXTERNAS DE SACADA DE EDIFÍCIOS DE MÚLTIPLOS PAVIMENTOS, UMA COR. AF_06/2014</t>
  </si>
  <si>
    <t xml:space="preserve"> 10.2.4 </t>
  </si>
  <si>
    <t>PINTURA DE DEMARCAÇÃO DE VAGA COM TINTA EPÓXI, E = 10 CM, APLICAÇÃO MANUAL. AF_05/2021</t>
  </si>
  <si>
    <t xml:space="preserve"> 11 </t>
  </si>
  <si>
    <t>IMPERMEABILIZAÇÃO</t>
  </si>
  <si>
    <t xml:space="preserve"> 11.1 </t>
  </si>
  <si>
    <t>[BASEADO EM SINAPI 98546] IMPERMEABILIZAÇÃO DE SUPERFÍCIE COM MANTA ASFÁLTICA, UMA CAMADA, INCLUSIVE APLICAÇÃO DE PRIMER ASFÁLTICO, E=4MM.</t>
  </si>
  <si>
    <t xml:space="preserve"> 11.2 </t>
  </si>
  <si>
    <t>IMPERMEABILIZAÇÃO DE SUPERFÍCIE COM EMULSÃO ASFÁLTICA, 2 DEMÃOS AF_06/2018</t>
  </si>
  <si>
    <t xml:space="preserve"> 11.3 </t>
  </si>
  <si>
    <t>IMPERMEABILIZAÇÃO DE SUPERFÍCIE COM ARGAMASSA POLIMÉRICA / MEMBRANA ACRÍLICA, 4 DEMÃOS, REFORÇADA COM VÉU DE POLIÉSTER (MAV). AF_06/2018</t>
  </si>
  <si>
    <t xml:space="preserve"> 11.4 </t>
  </si>
  <si>
    <t>TRATAMENTO DE RALO OU PONTO EMERGENTE COM ARGAMASSA POLIMÉRICA / MEMBRANA ACRÍLICA REFORÇADO COM VÉU DE POLIÉSTER (MAV). AF_06/2018</t>
  </si>
  <si>
    <t xml:space="preserve"> 11.5 </t>
  </si>
  <si>
    <t>REPARO/COLAGEM DE ESTRUTURAS DE CONCRETO COM ADESIVO ESTRUTURAL A BASE DE EPOXI, E=2 MM</t>
  </si>
  <si>
    <t xml:space="preserve"> 11.6 </t>
  </si>
  <si>
    <t>CONTRAPISO EM ARGAMASSA TRAÇO 1:4 (CIMENTO E AREIA), PREPARO MANUAL, APLICADO EM ÁREAS SECAS SOBRE LAJE, ADERIDO, ACABAMENTO NÃO REFORÇADO, ESPESSURA 3CM. AF_07/2021</t>
  </si>
  <si>
    <t xml:space="preserve"> 12 </t>
  </si>
  <si>
    <t>PISO</t>
  </si>
  <si>
    <t xml:space="preserve"> 12.1 </t>
  </si>
  <si>
    <t>PISO VINÍLICO SEMI-FLEXÍVEL EM PLACAS, PADRÃO LISO, ESPESSURA 3,2 MM, FIXADO COM COLA. AF_09/2020</t>
  </si>
  <si>
    <t xml:space="preserve"> 12.2 </t>
  </si>
  <si>
    <t>REVESTIMENTO CERÂMICO PARA PISO COM PLACAS TIPO ESMALTADA EXTRA DE DIMENSÕES 60X60 CM APLICADA EM AMBIENTES DE ÁREA MENOR QUE 5 M2. AF_02/2023_PE</t>
  </si>
  <si>
    <t xml:space="preserve"> 12.3 </t>
  </si>
  <si>
    <t>PISO EM GRANITO APLICADO EM CALÇADAS OU PISOS EXTERNOS. AF_05/2020</t>
  </si>
  <si>
    <t xml:space="preserve"> 12.4 </t>
  </si>
  <si>
    <t>CONTRAPISO EM ARGAMASSA TRAÇO 1:4 (CIMENTO E AREIA), PREPARO MANUAL, APLICADO EM ÁREAS SECAS SOBRE LAJE, NÃO ADERIDO, ACABAMENTO NÃO REFORÇADO, ESPESSURA 6CM. AF_07/2021</t>
  </si>
  <si>
    <t xml:space="preserve"> 12.5 </t>
  </si>
  <si>
    <t>EXECUÇÃO DE PASSEIO (CALÇADA) OU PISO DE CONCRETO COM CONCRETO MOLDADO IN LOCO, USINADO C20, ACABAMENTO CONVENCIONAL, NÃO ARMADO. AF_08/2022</t>
  </si>
  <si>
    <t xml:space="preserve"> 12.6 </t>
  </si>
  <si>
    <t>PISO CIMENTADO, TRAÇO 1:3 (CIMENTO E AREIA), ACABAMENTO LISO, ESPESSURA 2,0 CM, PREPARO MECÂNICO DA ARGAMASSA. AF_09/2020</t>
  </si>
  <si>
    <t xml:space="preserve"> 12.7 </t>
  </si>
  <si>
    <t>PISO EM GRANITO APLICADO EM AMBIENTES INTERNOS. AF_09/2020</t>
  </si>
  <si>
    <t xml:space="preserve"> 12.8 </t>
  </si>
  <si>
    <t>PISO ELEVADO 18cm EM AGLOMERADO COM REVESTIMENTO EM CARPETE</t>
  </si>
  <si>
    <t xml:space="preserve"> 12.9 </t>
  </si>
  <si>
    <t>CONCRETAGEM DE RADIER, PISO DE CONCRETO OU LAJE SOBRE SOLO, FCK 30 MPA - LANÇAMENTO, ADENSAMENTO E ACABAMENTO. AF_09/2021</t>
  </si>
  <si>
    <t xml:space="preserve"> 12.10 </t>
  </si>
  <si>
    <t>ACABAMENTO POLIDO PARA PISO DE CONCRETO ARMADO OU LAJE SOBRE SOLO DE ALTA RESISTÊNCIA. AF_09/2021</t>
  </si>
  <si>
    <t xml:space="preserve"> 12.11 </t>
  </si>
  <si>
    <t>PISO PODOTÁTIL DE ALERTA OU DIRECIONAL, DE BORRACHA, ASSENTADO SOBRE ARGAMASSA. AF_05/2020</t>
  </si>
  <si>
    <t xml:space="preserve"> 12.12 </t>
  </si>
  <si>
    <t>PISO PODOTÁTIL DE ALERTA OU DIRECIONAL, DE CONCRETO, ASSENTADO SOBRE ARGAMASSA. AF_05/2023</t>
  </si>
  <si>
    <t xml:space="preserve"> 12.13 </t>
  </si>
  <si>
    <t xml:space="preserve"> 12.14 </t>
  </si>
  <si>
    <t>APLICAÇÃO DE LONA PLÁSTICA PARA EXECUÇÃO DE PAVIMENTOS DE CONCRETO. AF_04/2022</t>
  </si>
  <si>
    <t xml:space="preserve"> 13 </t>
  </si>
  <si>
    <t>FORRO</t>
  </si>
  <si>
    <t xml:space="preserve"> 13.1 </t>
  </si>
  <si>
    <t>FORRO DE FIBRA MINERAL EM PLACAS DE 625 X 625 MM, E = 15/16 MM, BORDA REBAIXADA, COM PINTURA ANTIMOFO, APOIADO EM PERFIL DE ACO GALVANIZADO COM 24 MM DE BASE - INSTALADO</t>
  </si>
  <si>
    <t xml:space="preserve"> 14 </t>
  </si>
  <si>
    <t>ESQUADRIAS</t>
  </si>
  <si>
    <t xml:space="preserve"> 14.1 </t>
  </si>
  <si>
    <t>PORTA DE CORRER DE VIDRO TEMPERADO DE 10 MM INCLUSIVE ACESSÓRIOS, DIMENSÕES (1,30 X 2,10) M ,  INCLUSIVE COMPLEMENTOS DE VIDRO TEMPERADO DE 10MM,  PARA FECHAMENTO., DIMENSÕES  (1,20 X 0,90)M</t>
  </si>
  <si>
    <t>UM</t>
  </si>
  <si>
    <t xml:space="preserve"> 14.2 </t>
  </si>
  <si>
    <t>PORTA DE ABRIR COM MOLA HIDRÁULICA, EM VIDRO TEMPERADO, 2 FOLHAS DE 90X210 CM, ESPESSURA DD 10MM, INCLUSIVE ACESSÓRIOS. AF_01/2021</t>
  </si>
  <si>
    <t xml:space="preserve"> 14.3 </t>
  </si>
  <si>
    <t>PORTA DE ABRIR COM MOLA HIDRÁULICA, EM VIDRO TEMPERADO, 90X210 CM, ESPESSURA 10 MM, INCLUSIVE ACESSÓRIOS. AF_01/2021</t>
  </si>
  <si>
    <t xml:space="preserve"> 14.4 </t>
  </si>
  <si>
    <t>[BASEADO EM SINAPI 102185] PORTA DE ABRIR COM MOLA HIDRÁULICA, EM VIDRO TEMPERADO, 2 FOLHAS DE 80X210 CM, ESPESSURA DD 10MM, INCLUSIVE ACESSÓRIOS.</t>
  </si>
  <si>
    <t xml:space="preserve"> 14.5</t>
  </si>
  <si>
    <t>BOX EM VIDRO LAMINADO 8mm COM PORTA O,85x1,80m PARA SANITARIO</t>
  </si>
  <si>
    <t xml:space="preserve"> 14.6</t>
  </si>
  <si>
    <t>KIT DE PORTA DE MADEIRA FRISADA, SEMI-OCA (LEVE OU MÉDIA), PADRÃO MÉDIO 60X210CM, ESPESSURA DE 3CM, ITENS INCLUSOS: DOBRADIÇAS, MONTAGEM E INSTALAÇÃO DO BATENTE, SEM FECHADURA - FORNECIMENTO E INSTALAÇÃO. AF_12/2019</t>
  </si>
  <si>
    <t xml:space="preserve"> 14.7</t>
  </si>
  <si>
    <t>KIT DE PORTA DE MADEIRA PARA PINTURA, SEMI-OCA (LEVE OU MÉDIA), PADRÃO MÉDIO, 80X210CM, ESPESSURA DE 3,5CM, ITENS INCLUSOS: DOBRADIÇAS, MONTAGEM E INSTALAÇÃO DO BATENTE, SEM FECHADURA - FORNECIMENTO E INSTALAÇÃO. AF_12/2019</t>
  </si>
  <si>
    <t xml:space="preserve"> 14.8</t>
  </si>
  <si>
    <t>KIT DE PORTA DE MADEIRA PARA PINTURA, SEMI-OCA (LEVE OU MÉDIA), PADRÃO MÉDIO, 90X210CM, ESPESSURA DE 3,5CM, ITENS INCLUSOS: DOBRADIÇAS, MONTAGEM E INSTALAÇÃO DO BATENTE, FECHADURA COM EXECUÇÃO DO FURO - FORNECIMENTO E INSTALAÇÃO. AF_12/2019</t>
  </si>
  <si>
    <t xml:space="preserve"> 14.9</t>
  </si>
  <si>
    <t>JANELA DE ALUMÍNIO TIPO MAXIM-AR, COM VIDROS REFLETIVO , BATENTE E FERRAGENS. EXCLUSIVE ALIZAR, ACABAMENTO E CONTRAMARCO. FORNECIMENTO E INSTALAÇÃO. AF_12/2019</t>
  </si>
  <si>
    <t xml:space="preserve"> 15 </t>
  </si>
  <si>
    <t>CORTINA DE VIDRO</t>
  </si>
  <si>
    <t xml:space="preserve"> 15.1 </t>
  </si>
  <si>
    <t>FORNECIMENTO E INSTALAÇÃO DE FACHADA EM PELE DE VIDRO, LINHA CITTA DUE ALCOA, EM VIDRO LAMINADO 4+4 PRATA REFLETIVO CONTENDO JANELAS MAXIM AR</t>
  </si>
  <si>
    <t xml:space="preserve"> 16 </t>
  </si>
  <si>
    <t>LOUÇA E METAIS</t>
  </si>
  <si>
    <t xml:space="preserve"> 16.1 </t>
  </si>
  <si>
    <t>VASO SANITÁRIO SIFONADO COM CAIXA ACOPLADA LOUÇA BRANCA - PADRÃO MÉDIO, INCLUSO ENGATE FLEXÍVEL EM METAL CROMADO, 1/2  X 40CM - FORNECIMENTO E INSTALAÇÃO. AF_01/2020</t>
  </si>
  <si>
    <t xml:space="preserve"> 16.2 </t>
  </si>
  <si>
    <t>VASO SANITARIO SIFONADO CONVENCIONAL PARA PCD SEM FURO FRONTAL COM LOUÇA BRANCA SEM ASSENTO, INCLUSO CONJUNTO DE LIGAÇÃO PARA BACIA SANITÁRIA AJUSTÁVEL - FORNECIMENTO E INSTALAÇÃO. AF_01/2020</t>
  </si>
  <si>
    <t xml:space="preserve"> 16.3 </t>
  </si>
  <si>
    <t>ASSENTO SANITÁRIO CONVENCIONAL - FORNECIMENTO E INSTALACAO. AF_01/2020</t>
  </si>
  <si>
    <t xml:space="preserve"> 16.4 </t>
  </si>
  <si>
    <t>BARRA DE APOIO RETA, EM ACO INOX POLIDO, COMPRIMENTO 80 CM,  FIXADA NA PAREDE - FORNECIMENTO E INSTALAÇÃO. AF_01/2020</t>
  </si>
  <si>
    <t xml:space="preserve"> 16.5 </t>
  </si>
  <si>
    <t>CHUVEIRO ELÉTRICO COMUM CORPO PLÁSTICO, TIPO DUCHA  FORNECIMENTO E INSTALAÇÃO. AF_01/2020</t>
  </si>
  <si>
    <t xml:space="preserve"> 16.6 </t>
  </si>
  <si>
    <t>MICTÓRIO SIFONADO LOUÇA BRANCA  PADRÃO MÉDIO  FORNECIMENTO E INSTALAÇÃO. AF_01/2020</t>
  </si>
  <si>
    <t xml:space="preserve"> 16.7 </t>
  </si>
  <si>
    <t>BANCADA GRANITO CINZA  150 X 60 CM, COM CUBA DE EMBUTIR DE AÇO, VÁLVULA AMERICANA EM METAL, SIFÃO FLEXÍVEL EM PVC, ENGATE FLEXÍVEL 30 CM, TORNEIRA CROMADA LONGA, DE PAREDE, 1/2 OU 3/4, P/ COZINHA, PADRÃO POPULAR - FORNEC. E INSTALAÇÃO. AF_01/2020</t>
  </si>
  <si>
    <t xml:space="preserve"> 16.8 </t>
  </si>
  <si>
    <t>BANCADA GRANITO CINZA,  50 X 60 CM, INCL. CUBA DE EMBUTIR OVAL LOUÇA BRANCA 35 X 50 CM, VÁLVULA METAL CROMADO, SIFÃO FLEXÍVEL PVC, ENGATE 30 CM FLEXÍVEL PLÁSTICO E TORNEIRA CROMADA DE MESA, PADRÃO POPULAR - FORNEC. E INSTALAÇÃO. AF_01/2020</t>
  </si>
  <si>
    <t xml:space="preserve"> 17 </t>
  </si>
  <si>
    <t>INSTALAÇÕES HIDROSSANITÁRIAS</t>
  </si>
  <si>
    <t xml:space="preserve"> 17.1 </t>
  </si>
  <si>
    <t>DRENAGEM E REUSO</t>
  </si>
  <si>
    <t xml:space="preserve"> 17.1.1 </t>
  </si>
  <si>
    <t>BOMBA CENTRÍFUGA, TRIFÁSICA, 3 CV OU 2,96 HP, HM 34 A 40 M, Q 8,6 A 14,8 M3/H - FORNECIMENTO E INSTALAÇÃO. AF_12/2020</t>
  </si>
  <si>
    <t xml:space="preserve"> 17.1.2 </t>
  </si>
  <si>
    <t>REGISTRO DE GAVETA BRUTO, LATÃO, ROSCÁVEL, 1", COM ACABAMENTO E CANOPLA CROMADOS - FORNECIMENTO E INSTALAÇÃO. AF_08/2021</t>
  </si>
  <si>
    <t xml:space="preserve"> 17.1.3 </t>
  </si>
  <si>
    <t>REGISTRO DE GAVETA BRUTO, LATÃO, ROSCÁVEL, 3/4", COM ACABAMENTO E CANOPLA CROMADOS - FORNECIMENTO E INSTALAÇÃO. AF_08/2021</t>
  </si>
  <si>
    <t xml:space="preserve"> 17.1.4 </t>
  </si>
  <si>
    <t>REGISTRO DE GAVETA BRUTO, LATÃO, ROSCÁVEL, 1 1/4", COM ACABAMENTO E CANOPLA CROMADOS - FORNECIMENTO E INSTALAÇÃO. AF_08/2021</t>
  </si>
  <si>
    <t xml:space="preserve"> 17.1.5 </t>
  </si>
  <si>
    <t>VÁLVULA DE RETENÇÃO VERTICAL, DE BRONZE, ROSCÁVEL, 1" - FORNECIMENTO E INSTALAÇÃO. AF_08/2021</t>
  </si>
  <si>
    <t xml:space="preserve"> 17.1.6 </t>
  </si>
  <si>
    <t>VÁLVULA DE RETENÇÃO, DE BRONZE, PÉ COM CRIVOS, ROSCÁVEL, 1 1/4" - FORNECIMENTO E INSTALAÇÃO. AF_08/2021</t>
  </si>
  <si>
    <t xml:space="preserve"> 17.1.7 </t>
  </si>
  <si>
    <t>ADAPTADOR CURTO COM BOLSA E ROSCA PARA REGISTRO, PVC, SOLDÁVEL, DN 40MM X 1.1/4 , INSTALADO EM PRUMADA DE ÁGUA - FORNECIMENTO E INSTALAÇÃO. AF_06/2022</t>
  </si>
  <si>
    <t xml:space="preserve"> 17.1.8 </t>
  </si>
  <si>
    <t>ADAPTADOR CURTO COM BOLSA E ROSCA PARA REGISTRO, PVC, SOLDÁVEL, DN 32MM X 1 , INSTALADO EM RAMAL DE DISTRIBUIÇÃO DE ÁGUA - FORNECIMENTO E INSTALAÇÃO. AF_06/2022</t>
  </si>
  <si>
    <t xml:space="preserve"> 17.1.9 </t>
  </si>
  <si>
    <t>TUBO, PVC, SOLDÁVEL, DN 60 MM, INSTALADO EM RESERVAÇÃO DE ÁGUA DE EDIFICAÇÃO QUE POSSUA RESERVATÓRIO DE FIBRA/FIBROCIMENTO   FORNECIMENTO E INSTALAÇÃO. AF_06/2016</t>
  </si>
  <si>
    <t xml:space="preserve"> 17.1.10 </t>
  </si>
  <si>
    <t>(COMPOSIÇÃO REPRESENTATIVA) DO SERVIÇO DE INSTALAÇÃO DE TUBOS DE PVC, SOLDÁVEL, ÁGUA FRIA, DN 50 MM (INSTALADO EM PRUMADA), INCLUSIVE CONEXÕES, CORTES E FIXAÇÕES, PARA PRÉDIOS. AF_10/2015</t>
  </si>
  <si>
    <t xml:space="preserve"> 17.1.11 </t>
  </si>
  <si>
    <t>(COMPOSIÇÃO REPRESENTATIVA) DO SERVIÇO DE INSTALAÇÃO DE TUBOS DE PVC, SOLDÁVEL, ÁGUA FRIA, DN 40 MM (INSTALADO EM PRUMADA), INCLUSIVE CONEXÕES, CORTES E FIXAÇÕES, PARA PRÉDIOS. AF_10/2015</t>
  </si>
  <si>
    <t xml:space="preserve"> 17.1.12 </t>
  </si>
  <si>
    <t>(COMPOSIÇÃO REPRESENTATIVA) DO SERVIÇO DE INSTALAÇÃO TUBOS DE PVC, SOLDÁVEL, ÁGUA FRIA, DN 32 MM (INSTALADO EM RAMAL, SUB-RAMAL, RAMAL DE DISTRIBUIÇÃO OU PRUMADA), INCLUSIVE CONEXÕES, CORTES E FIXAÇÕES, PARA PRÉDIOS. AF_10/2015</t>
  </si>
  <si>
    <t xml:space="preserve"> 17.1.13 </t>
  </si>
  <si>
    <t>(COMPOSIÇÃO REPRESENTATIVA) DO SERVIÇO DE INSTALAÇÃO DE TUBOS DE PVC, SOLDÁVEL, ÁGUA FRIA, DN 25 MM (INSTALADO EM RAMAL, SUB-RAMAL, RAMAL DE DISTRIBUIÇÃO OU PRUMADA), INCLUSIVE CONEXÕES, CORTES E FIXAÇÕES, PARA PRÉDIOS. AF_10/2015</t>
  </si>
  <si>
    <t xml:space="preserve"> 17.1.14 </t>
  </si>
  <si>
    <t>(COMPOSIÇÃO REPRESENTATIVA) DO SERVIÇO DE INSTALAÇÃO DE TUBO DE PVC, SÉRIE NORMAL, ESGOTO PREDIAL, DN 50 MM (INSTALADO EM RAMAL DE DESCARGA OU RAMAL DE ESGOTO SANITÁRIO), INCLUSIVE CONEXÕES, CORTES E FIXAÇÕES PARA, PRÉDIOS. AF_10/2015</t>
  </si>
  <si>
    <t xml:space="preserve"> 17.1.15 </t>
  </si>
  <si>
    <t>(COMPOSIÇÃO REPRESENTATIVA) DO SERVIÇO DE INSTALAÇÃO DE TUBO DE PVC, SÉRIE NORMAL, ESGOTO PREDIAL, DN 40 MM (INSTALADO EM RAMAL DE DESCARGA OU RAMAL DE ESGOTO SANITÁRIO), INCLUSIVE CONEXÕES, CORTES E FIXAÇÕES, PARA PRÉDIOS. AF_10/2015</t>
  </si>
  <si>
    <t xml:space="preserve"> 17.1.16 </t>
  </si>
  <si>
    <t>(COMPOSIÇÃO REPRESENTATIVA) DO SERVIÇO DE INSTALAÇÃO DE TUBOS DE PVC, SÉRIE R, ÁGUA PLUVIAL, DN 100 MM (INSTALADO EM RAMAL DE ENCAMINHAMENTO, OU CONDUTORES VERTICAIS), INCLUSIVE CONEXÕES, CORTES E FIXAÇÕES, PARA PRÉDIOS. AF_10/2015</t>
  </si>
  <si>
    <t xml:space="preserve"> 17.1.17 </t>
  </si>
  <si>
    <t>(COMPOSIÇÃO REPRESENTATIVA) DO SERVIÇO DE INSTALAÇÃO DE TUBOS DE PVC, SÉRIE R, ÁGUA PLUVIAL, DN 75 MM (INSTALADO EM RAMAL DE ENCAMINHAMENTO, OU CONDUTORES VERTICAIS), INCLUSIVE CONEXÕES, CORTE E FIXAÇÕES, PARA PRÉDIOS. AF_10/2015</t>
  </si>
  <si>
    <t xml:space="preserve"> 17.1.18 </t>
  </si>
  <si>
    <t>CAIXA ENTERRADA HIDRÁULICA RETANGULAR EM ALVENARIA COM TIJOLOS CERÂMICOS MACIÇOS, DIMENSÕES INTERNAS: 1X1X0,6 M PARA REDE DE ESGOTO. AF_12/2020</t>
  </si>
  <si>
    <t xml:space="preserve"> 17.1.19 </t>
  </si>
  <si>
    <t>CAIXA ENTERRADA HIDRÁULICA RETANGULAR EM ALVENARIA COM TIJOLOS CERÂMICOS MACIÇOS, DIMENSÕES INTERNAS: 0,6X0,6X0,6 M PARA REDE DE DRENAGEM. AF_12/2020</t>
  </si>
  <si>
    <t xml:space="preserve"> 17.1.20 </t>
  </si>
  <si>
    <t>CAIXA ENTERRADA HIDRÁULICA RETANGULAR EM ALVENARIA COM TIJOLOS CERÂMICOS MACIÇOS, DIMENSÕES INTERNAS: 0,8X0,8X0,6 M PARA REDE DE ESGOTO. AF_12/2020</t>
  </si>
  <si>
    <t xml:space="preserve"> 17.1.21 </t>
  </si>
  <si>
    <t>CAIXA SIFONADA, PVC, DN 100 X 100 X 50 MM, JUNTA ELÁSTICA, FORNECIDA E INSTALADA EM RAMAL DE DESCARGA OU EM RAMAL DE ESGOTO SANITÁRIO. AF_08/2022</t>
  </si>
  <si>
    <t xml:space="preserve"> 17.1.22 </t>
  </si>
  <si>
    <t>CAIXA SIFONADA, PVC, DN 150 X 185 X 75 MM, FORNECIDA E INSTALADA EM RAMAIS DE ENCAMINHAMENTO DE ÁGUA PLUVIAL. AF_06/2022</t>
  </si>
  <si>
    <t xml:space="preserve"> 17.1.23 </t>
  </si>
  <si>
    <t>CAIXA PARA BOCA DE LOBO COMBINADA COM GRELHA RETANGULAR, EM ALVENARIA COM BLOCOS DE CONCRETO, DIMENSÕES INTERNAS: 1,3X1X1,2 M. AF_12/2020</t>
  </si>
  <si>
    <t xml:space="preserve"> 17.1.24 </t>
  </si>
  <si>
    <t>ENGATE FLEXÍVEL EM PLÁSTICO BRANCO, 1/2 X 30CM - FORNECIMENTO E INSTALAÇÃO. AF_01/2020</t>
  </si>
  <si>
    <t xml:space="preserve"> 17.1.25 </t>
  </si>
  <si>
    <t>TORNEIRA CROMADA 1/2 OU 3/4 PARA TANQUE, PADRÃO MÉDIO - FORNECIMENTO E INSTALAÇÃO. AF_01/2020</t>
  </si>
  <si>
    <t xml:space="preserve"> 17.1.26 </t>
  </si>
  <si>
    <t>TORNEIRA CROMADA DE MESA, 1/2 OU 3/4, PARA LAVATÓRIO, PADRÃO MÉDIO - FORNECIMENTO E INSTALAÇÃO. AF_01/2020</t>
  </si>
  <si>
    <t xml:space="preserve"> 17.1.27 </t>
  </si>
  <si>
    <t>CAIXA D'AGUA EM POLIETILENO 15000 LITROS COM TAMPA</t>
  </si>
  <si>
    <t xml:space="preserve"> 17.2 </t>
  </si>
  <si>
    <t>AGUA FRIA</t>
  </si>
  <si>
    <t xml:space="preserve"> 17.2.1 </t>
  </si>
  <si>
    <t>(COMPOSIÇÃO REPRESENTATIVA) LIGAÇÃO PREDIAL DE ÁGUA, REDE DN 50 MM, RAMAL PREDIAL DE 20 MM, L = 2,0 M, LARGURA DA VALA = 0,65 M; COM COLAR DE TOMADA DE PVC; ESCAVAÇÃO MECANIZADA, PREPARO DE FUNDO DE VALA E REATERRO COMPACTADO. AF_06/2022</t>
  </si>
  <si>
    <t xml:space="preserve"> 17.2.2 </t>
  </si>
  <si>
    <t>PONTO DE CONSUMO TERMINAL DE ÁGUA FRIA (SUBRAMAL) COM TUBULAÇÃO DE PVC, DN 25 MM, INSTALADO EM RAMAL DE ÁGUA, INCLUSOS RASGO E CHUMBAMENTO EM ALVENARIA. AF_12/2014</t>
  </si>
  <si>
    <t xml:space="preserve"> 17.2.3 </t>
  </si>
  <si>
    <t xml:space="preserve"> 17.2.4 </t>
  </si>
  <si>
    <t xml:space="preserve"> 17.2.5 </t>
  </si>
  <si>
    <t xml:space="preserve"> 17.2.6 </t>
  </si>
  <si>
    <t xml:space="preserve"> 17.2.7 </t>
  </si>
  <si>
    <t>BARRILETE DISTR.PVC SOLDAVEL CAIXA (ATE COLUNAS) POR PAV.</t>
  </si>
  <si>
    <t xml:space="preserve"> 17.3 </t>
  </si>
  <si>
    <t>ESGOTO</t>
  </si>
  <si>
    <t xml:space="preserve"> 17.3.1 </t>
  </si>
  <si>
    <t>(COMPOSIÇÃO REPRESENTATIVA) LIGAÇÃO PREDIAL DE ESGOTO, REDE DN 150 MM, COLETOR PREDIAL DN 100 MM, L = 4,0 M, LARGURA DA VALA = 0,65 M; COM SELIM E CURVA 90 GRAUS; ESCAVAÇÃO MECANIZADA, PREPARO DE FUNDO DE VALA E REATERRO COMPACTADO. AF_06/2022</t>
  </si>
  <si>
    <t xml:space="preserve"> 17.3.2 </t>
  </si>
  <si>
    <t>TERMINAL DE VENTILAÇÃO, PVC, SÉRIE NORMAL, ESGOTO PREDIAL, DN 100 MM, JUNTA SOLDÁVEL, FORNECIDO E INSTALADO EM PRUMADA DE ESGOTO SANITÁRIO OU VENTILAÇÃO. AF_08/2022</t>
  </si>
  <si>
    <t xml:space="preserve"> 17.3.3 </t>
  </si>
  <si>
    <t>CONJUNTO DE PONTOS DE COLETA DE ESGOTO PARA BANHEIRO (RAMAL DE ESGOTO SANITÁRIO), EM PVC SÉRIE NORMAL, COM  TUBOS, CONEXÕES, RALOS, CAIXAS SIFONADAS, CORTES E FIXAÇÕES EM PRÉDIO COM PRUMADA DE DESCIDA DE ESGOTO DENTRO DO BANHEIRO. AF_05/2023</t>
  </si>
  <si>
    <t xml:space="preserve"> 17.3.4 </t>
  </si>
  <si>
    <t>CAIXA SIFONADA, PVC, DN 150 X 185 X 75 MM, JUNTA ELÁSTICA, FORNECIDA E INSTALADA EM RAMAL DE DESCARGA OU EM RAMAL DE ESGOTO SANITÁRIO. AF_08/2022</t>
  </si>
  <si>
    <t xml:space="preserve"> 17.3.5 </t>
  </si>
  <si>
    <t>CAIXA DE GORDURA PEQUENA (CAPACIDADE: 19 L), CIRCULAR, EM PVC, DIÂMETRO INTERNO= 0,3 M. AF_12/2020</t>
  </si>
  <si>
    <t xml:space="preserve"> 17.3.6 </t>
  </si>
  <si>
    <t>BASE PARA POÇO DE VISITA RETANGULAR PARA  ESGOTO, EM ALVENARIA COM BLOCOS DE CONCRETO, DIMENSÕES INTERNAS = 1X1 M, PROFUNDIDADE = 1,40 M, EXCLUINDO TAMPÃO. AF_12/2020_PA</t>
  </si>
  <si>
    <t xml:space="preserve"> 17.3.7 </t>
  </si>
  <si>
    <t>BASE PARA POÇO DE VISITA CIRCULAR PARA  ESGOTO, EM ALVENARIA COM TIJOLOS CERÂMICOS MACIÇOS, DIÂMETRO INTERNO = 0,80 M, PROFUNDIDADE = 1,40 M, EXCLUINDO TAMPÃO. AF_12/2020_PA</t>
  </si>
  <si>
    <t xml:space="preserve"> 17.3.8 </t>
  </si>
  <si>
    <t>CAIXA ENTERRADA HIDRÁULICA RETANGULAR EM ALVENARIA COM TIJOLOS CERÂMICOS MACIÇOS, DIMENSÕES INTERNAS: 0,6X0,6X0,6 M PARA REDE DE ESGOTO. AF_12/2020</t>
  </si>
  <si>
    <t xml:space="preserve"> 17.3.9 </t>
  </si>
  <si>
    <t xml:space="preserve"> 17.3.10 </t>
  </si>
  <si>
    <t>RALO SIFONADO REDONDO, PVC, DN 100 X 40 MM, JUNTA SOLDÁVEL, FORNECIDO E INSTALADO EM RAMAL DE DESCARGA OU EM RAMAL DE ESGOTO SANITÁRIO. AF_08/2022</t>
  </si>
  <si>
    <t xml:space="preserve"> 17.3.11 </t>
  </si>
  <si>
    <t>PONTO ESGOTO PRIMARIO PVC</t>
  </si>
  <si>
    <t xml:space="preserve"> 17.3.12 </t>
  </si>
  <si>
    <t>PONTO ESGOTO SANITARIO PRIMARIO PVC (MICTORIO)</t>
  </si>
  <si>
    <t xml:space="preserve"> 17.3.13 </t>
  </si>
  <si>
    <t>PONTO ESGOTO SANITARIO PRIMARIO PVC (VASO)</t>
  </si>
  <si>
    <t xml:space="preserve"> 17.4 </t>
  </si>
  <si>
    <t>ESTAÇÃO ELEVATÓRIA</t>
  </si>
  <si>
    <t xml:space="preserve"> 17.4.1 </t>
  </si>
  <si>
    <t>BOMBA CENTRÍFUGA, TRIFÁSICA, 1 CV OU 0,99 HP, HM 14 A 40 M, Q 0,6 A 8,4 M3/H - FORNECIMENTO E INSTALAÇÃO. AF_12/2020</t>
  </si>
  <si>
    <t xml:space="preserve"> 17.4.2 </t>
  </si>
  <si>
    <t>REGISTRO DE ESFERA, PVC, SOLDÁVEL, COM VOLANTE, DN  60 MM - FORNECIMENTO E INSTALAÇÃO. AF_08/2021</t>
  </si>
  <si>
    <t xml:space="preserve"> 17.4.3 </t>
  </si>
  <si>
    <t>CAIXA COM GRELHA DUPLA RETANGULAR, EM ALVENARIA COM BLOCOS DE CONCRETO, DIMENSÕES INTERNAS: 0,5X2,2X1 M. AF_12/2020</t>
  </si>
  <si>
    <t xml:space="preserve"> 17.4.4 </t>
  </si>
  <si>
    <t xml:space="preserve"> 17.4.5 </t>
  </si>
  <si>
    <t>TAMPA CIRCULAR PARA ESGOTO E DRENAGEM, EM CONCRETO PRÉ-MOLDADO, DIÂMETRO INTERNO = 0,60 M E ALTURA = 0,10 M. AF_12/2020</t>
  </si>
  <si>
    <t xml:space="preserve"> 18 </t>
  </si>
  <si>
    <t>INSTALAÇÕES ELÉTRICAS</t>
  </si>
  <si>
    <t xml:space="preserve"> 18.1 </t>
  </si>
  <si>
    <t>PONTO DE ELÉTRICOS</t>
  </si>
  <si>
    <t xml:space="preserve"> 18.1.1 </t>
  </si>
  <si>
    <t>COMPOSIÇÃO PARAMÉTRICA DE PONTO ELÉTRICO DE ILUMINAÇÃO, COM INTERRUPTOR SIMPLES, EM EDIFÍCIO RESIDENCIAL COM ELETRODUTO EMBUTIDO EM RASGOS NAS PAREDES, INCLUSO TOMADA, ELETRODUTO, CABO, RASGO E CHUMBAMENTO (SEM LUMINÁRIA E LÂMPADA). AF_11/2022</t>
  </si>
  <si>
    <t xml:space="preserve"> 18.1.2 </t>
  </si>
  <si>
    <t>COMPOSIÇÃO PARAMÉTRICA DE PONTO ELÉTRICO DE TOMADA DE USO ESPECÍFICO 2P+T (20A/250V) EM EDIFÍCIO RESIDENCIAL COM ELETRODUTO EMBUTIDO EM RASGOS NAS PAREDES, INCLUSO TOMADA, ELETRODUTO, CABO, RASGO, QUEBRA E CHUMBAMENTO (EXCETO CHUVEIRO). AF_11/2022</t>
  </si>
  <si>
    <t xml:space="preserve"> 18.1.3 </t>
  </si>
  <si>
    <t>COMPOSIÇÃO PARAMÉTRICA DE PONTO ELÉTRICO DE TOMADA DE USO GERAL 2P+T (10A/250V) EM EDIFÍCIO RESIDENCIAL COM ELETRODUTO EMBUTIDO EM RASGOS NAS PAREDES, INCLUSO TOMADA, ELETRODUTO, CABO, RASGO, QUEBRA E CHUMBAMENTO. AF_11/2022</t>
  </si>
  <si>
    <t xml:space="preserve"> 18.1.4 </t>
  </si>
  <si>
    <t>COMPOSIÇÃO PARAMÉTRICA DE PONTO ELÉTRICO DE ILUMINAÇÃO, COM INTERRUPTOR PARALELO, EM EDIFÍCIO RESIDENCIAL COM ELETRODUTO EMBUTIDO EM RASGOS NAS PAREDES, INCLUSO CAIXA ELÉTRICA, MÓDULO DE TOMADA, ELETRODUTO, CABO, RASGO, QUEBRA E CHUMBAMENTO (SEM LUMINÁRIA E LÂMPADA). AF_11/2022</t>
  </si>
  <si>
    <t xml:space="preserve"> 18.1.5 </t>
  </si>
  <si>
    <t>COMPOSIÇÃO PARAMÉTRICA DE PONTO ELÉTRICO DE TOMADA PARA CHUVEIRO (20A/250V) EM EDIFÍCIO RESIDENCIAL COM ELETRODUTO EMBUTIDO EM RASGOS NAS PAREDES, INCLUSO TOMADA, ELETRODUTO, CABO, RASGO, QUEBRA E CHUMBAMENTO. AF_11/2022</t>
  </si>
  <si>
    <t xml:space="preserve"> 18.2 </t>
  </si>
  <si>
    <t>CAIXAS E QUADROS</t>
  </si>
  <si>
    <t xml:space="preserve"> 18.2.1 </t>
  </si>
  <si>
    <t>CAIXA DE PROTEÇÃO PARA MEDIDOR MONOFÁSICO DE EMBUTIR - FORNECIMENTO E INSTALAÇÃO. AF_10/2020</t>
  </si>
  <si>
    <t xml:space="preserve"> 18.2.2 </t>
  </si>
  <si>
    <t>QUADRO DE DISTRIBUIÇÃO DE ENERGIA EM CHAPA DE AÇO GALVANIZADO, DE EMBUTIR, COM BARRAMENTO TRIFÁSICO, PARA 12 DISJUNTORES DIN 100A - FORNECIMENTO E INSTALAÇÃO. AF_10/2020</t>
  </si>
  <si>
    <t xml:space="preserve"> 18.2.3 </t>
  </si>
  <si>
    <t>QUADRO DE DISTRIBUIÇÃO DE ENERGIA EM CHAPA DE AÇO GALVANIZADO, DE EMBUTIR, COM BARRAMENTO TRIFÁSICO, PARA 18 DISJUNTORES DIN 100A - FORNECIMENTO E INSTALAÇÃO. AF_10/2020</t>
  </si>
  <si>
    <t xml:space="preserve"> 18.2.4 </t>
  </si>
  <si>
    <t>QUADRO DE DISTRIBUIÇÃO DE ENERGIA EM CHAPA DE AÇO GALVANIZADO, DE EMBUTIR, COM BARRAMENTO TRIFÁSICO, PARA 24 DISJUNTORES DIN 100A - FORNECIMENTO E INSTALAÇÃO. AF_10/2020</t>
  </si>
  <si>
    <t xml:space="preserve"> 18.2.5 </t>
  </si>
  <si>
    <t>QUADRO DE DISTRIBUIÇÃO DE ENERGIA EM CHAPA DE AÇO GALVANIZADO, DE EMBUTIR, COM BARRAMENTO TRIFÁSICO, PARA 30 DISJUNTORES DIN 150A - FORNECIMENTO E INSTALAÇÃO. AF_10/2020</t>
  </si>
  <si>
    <t xml:space="preserve"> 18.2.6 </t>
  </si>
  <si>
    <t>QUADRO DE DISTRIBUIÇÃO DE ENERGIA EM PVC, DE EMBUTIR, SEM BARRAMENTO, PARA 3 DISJUNTORES - FORNECIMENTO E INSTALAÇÃO. AF_10/2020</t>
  </si>
  <si>
    <t xml:space="preserve"> 18.2.7 </t>
  </si>
  <si>
    <t>QUADRO DE DISTRIBUIÇÃO DE ENERGIA EM PVC, DE EMBUTIR, SEM BARRAMENTO, PARA 6 DISJUNTORES - FORNECIMENTO E INSTALAÇÃO. AF_10/2020</t>
  </si>
  <si>
    <t xml:space="preserve"> 18.2.8 </t>
  </si>
  <si>
    <t>QUADRO DE DISTRIBUICAO COM BARRAMENTO TRIFASICO, DE EMBUTIR, EM CHAPA DE ACO GALVANIZADO, PARA 48 DISJUNTORES DIN, 100 A</t>
  </si>
  <si>
    <t xml:space="preserve"> 18.2.9 </t>
  </si>
  <si>
    <t>QUADRO DE DISTRIBUICAO COM BARRAMENTO TRIFASICO, DE EMBUTIR, EM CHAPA DE ACO GALVANIZADO, PARA 40 DISJUNTORES DIN, 100 A</t>
  </si>
  <si>
    <t xml:space="preserve"> 18.2.10 </t>
  </si>
  <si>
    <t>CAIXA DE PASSAGEM/ LUZ / TELEFONIA, DE EMBUTIR, EM CHAPA DE ACO GALVANIZADO, DIMENSOES 120 X 120 X *12* CM (PADRAO CONCESSIONARIA LOCAL)</t>
  </si>
  <si>
    <t xml:space="preserve"> 18.2.11 </t>
  </si>
  <si>
    <t>CAIXA DE PASSAGEM METALICA, DE SOBREPOR, COM TAMPA APARAFUSADA, DIMENSOES 15 X 15 X *10* CM</t>
  </si>
  <si>
    <t xml:space="preserve"> 18.2.12 </t>
  </si>
  <si>
    <t>CAIXA DE PASSAGEM ELETRICA DE PAREDE, DE EMBUTIR, EM TERMOPLASTICO / PVC, COM TAMPA APARAFUSADA, DIMENSOES 400 X 400 X *120* MM</t>
  </si>
  <si>
    <t xml:space="preserve"> 18.2.13 </t>
  </si>
  <si>
    <t>BASEADO NA COMPOSIÇÃO SINAPI(101883)INSTALAÇÃO DE QUADROS ELÉTRICOS COMPLETO INCLUINDO DISJUNTORES</t>
  </si>
  <si>
    <t xml:space="preserve"> 18.2.14 </t>
  </si>
  <si>
    <t>INSTALAÇÃO DE CAIXA DE´PASSAGEM DE SOBREPOR</t>
  </si>
  <si>
    <t xml:space="preserve"> 18.2.15 </t>
  </si>
  <si>
    <t>INSTALAÇÃO DE CAIXA DE PASSAGEM DE EMBUTIR (120X120X12)CM</t>
  </si>
  <si>
    <t xml:space="preserve"> 18.2.16 </t>
  </si>
  <si>
    <t>INSTALAÇÃO DE CAIXA DE PASSAGEM DE EMBUTIR (400X400X120)CM</t>
  </si>
  <si>
    <t xml:space="preserve"> 18.3 </t>
  </si>
  <si>
    <t>DISJUNTORES E DISPOSITIVOS</t>
  </si>
  <si>
    <t xml:space="preserve"> 18.3.1 </t>
  </si>
  <si>
    <t>DISJUNTOR TERMOMAGNÉTICO TRIPOLAR , CORRENTE NOMINAL DE 125A - FORNECIMENTO E INSTALAÇÃO. AF_10/2020</t>
  </si>
  <si>
    <t xml:space="preserve"> 18.3.2 </t>
  </si>
  <si>
    <t>DISJUNTOR TERMOMAGNETICO TRIPOLAR 150 A / 600 V, TIPO FXD / ICC - 35 KA</t>
  </si>
  <si>
    <t xml:space="preserve"> 18.3.3 </t>
  </si>
  <si>
    <t>DISJUNTOR TRIPOLAR TIPO DIN, CORRENTE NOMINAL DE 20A - FORNECIMENTO E INSTALAÇÃO. AF_10/2020</t>
  </si>
  <si>
    <t xml:space="preserve"> 18.3.4 </t>
  </si>
  <si>
    <t>DISJUNTOR TRIPOLAR TIPO DIN, CORRENTE NOMINAL DE 25A - FORNECIMENTO E INSTALAÇÃO. AF_10/2020</t>
  </si>
  <si>
    <t xml:space="preserve"> 18.3.5 </t>
  </si>
  <si>
    <t>DISJUNTOR TERMOMAGNETICO TRIPOLAR 300 A / 600 V, TIPO JXD / ICC - 40 KA</t>
  </si>
  <si>
    <t xml:space="preserve"> 18.3.6 </t>
  </si>
  <si>
    <t>DISJUNTOR TRIPOLAR TIPO DIN, CORRENTE NOMINAL DE 32A - FORNECIMENTO E INSTALAÇÃO. AF_10/2020</t>
  </si>
  <si>
    <t xml:space="preserve"> 18.3.7 </t>
  </si>
  <si>
    <t>DISJUNTOR TRIPOLAR TIPO DIN, CORRENTE NOMINAL DE 40A - FORNECIMENTO E INSTALAÇÃO. AF_10/2020</t>
  </si>
  <si>
    <t xml:space="preserve"> 18.3.8 </t>
  </si>
  <si>
    <t>DISJUNTOR TRIPOLAR TIPO DIN, CORRENTE NOMINAL DE 50A - FORNECIMENTO E INSTALAÇÃO. AF_10/2020</t>
  </si>
  <si>
    <t xml:space="preserve"> 18.3.9 </t>
  </si>
  <si>
    <t>DISJUNTOR TIPO DIN/IEC, TRIPOLAR 63 A</t>
  </si>
  <si>
    <t xml:space="preserve"> 18.3.10 </t>
  </si>
  <si>
    <t>DISJUNTOR TIPO NEMA, TRIPOLAR 60 ATE 100 A, TENSAO MAXIMA DE 415 V</t>
  </si>
  <si>
    <t xml:space="preserve"> 18.3.11 </t>
  </si>
  <si>
    <t>DISJUNTOR TERMOMAGNETICO TRIPOLAR 800 A / 600 V, TIPO LMXD</t>
  </si>
  <si>
    <t xml:space="preserve"> 18.3.12 </t>
  </si>
  <si>
    <t>DISJUNTOR BIPOLAR TIPO DIN, CORRENTE NOMINAL DE 10A - FORNECIMENTO E INSTALAÇÃO. AF_10/2020</t>
  </si>
  <si>
    <t xml:space="preserve"> 18.3.13 </t>
  </si>
  <si>
    <t>DISJUNTOR BIPOLAR TIPO DIN, CORRENTE NOMINAL DE 16A - FORNECIMENTO E INSTALAÇÃO. AF_10/2020</t>
  </si>
  <si>
    <t xml:space="preserve"> 18.3.14 </t>
  </si>
  <si>
    <t>DISJUNTOR BIPOLAR TIPO DIN, CORRENTE NOMINAL DE 20A - FORNECIMENTO E INSTALAÇÃO. AF_10/2020</t>
  </si>
  <si>
    <t xml:space="preserve"> 18.3.15 </t>
  </si>
  <si>
    <t>DISJUNTOR BIPOLAR TIPO DIN, CORRENTE NOMINAL DE 25A - FORNECIMENTO E INSTALAÇÃO. AF_10/2020</t>
  </si>
  <si>
    <t xml:space="preserve"> 18.3.16 </t>
  </si>
  <si>
    <t>DISJUNTOR BIPOLAR TIPO DIN, CORRENTE NOMINAL DE 32A - FORNECIMENTO E INSTALAÇÃO. AF_10/2020</t>
  </si>
  <si>
    <t xml:space="preserve"> 18.3.17 </t>
  </si>
  <si>
    <t>DISJUNTOR BIPOLAR TIPO DIN, CORRENTE NOMINAL DE 40A - FORNECIMENTO E INSTALAÇÃO. AF_10/2020</t>
  </si>
  <si>
    <t xml:space="preserve"> 18.3.18 </t>
  </si>
  <si>
    <t>DISJUNTOR BIPOLAR TIPO DIN, CORRENTE NOMINAL DE 50A - FORNECIMENTO E INSTALAÇÃO. AF_10/2020</t>
  </si>
  <si>
    <t xml:space="preserve"> 18.3.19 </t>
  </si>
  <si>
    <t>DISJUNTOR MONOPOLAR TIPO DIN, CORRENTE NOMINAL DE 10A - FORNECIMENTO E INSTALAÇÃO. AF_10/2020</t>
  </si>
  <si>
    <t xml:space="preserve"> 18.3.20 </t>
  </si>
  <si>
    <t>DISJUNTOR MONOPOLAR TIPO DIN, CORRENTE NOMINAL DE 16A - FORNECIMENTO E INSTALAÇÃO. AF_10/2020</t>
  </si>
  <si>
    <t xml:space="preserve"> 18.3.21 </t>
  </si>
  <si>
    <t>DISJUNTOR MONOPOLAR TIPO DIN, CORRENTE NOMINAL DE 20A - FORNECIMENTO E INSTALAÇÃO. AF_10/2020</t>
  </si>
  <si>
    <t xml:space="preserve"> 18.3.22 </t>
  </si>
  <si>
    <t>DISJUNTOR MONOPOLAR TIPO DIN, CORRENTE NOMINAL DE 25A - FORNECIMENTO E INSTALAÇÃO. AF_10/2020</t>
  </si>
  <si>
    <t xml:space="preserve"> 18.3.23 </t>
  </si>
  <si>
    <t>DISJUNTOR MONOPOLAR TIPO DIN, CORRENTE NOMINAL DE 32A - FORNECIMENTO E INSTALAÇÃO. AF_10/2020</t>
  </si>
  <si>
    <t xml:space="preserve"> 18.3.24 </t>
  </si>
  <si>
    <t>DISJUNTOR MONOPOLAR TIPO DIN, CORRENTE NOMINAL DE 40A - FORNECIMENTO E INSTALAÇÃO. AF_10/2020</t>
  </si>
  <si>
    <t xml:space="preserve"> 18.3.25 </t>
  </si>
  <si>
    <t>DISJUNTOR TRIPOLAR TIPO NEMA, CORRENTE NOMINAL DE 60 ATÉ 100A - FORNECIMENTO E INSTALAÇÃO. AF_10/2020</t>
  </si>
  <si>
    <t xml:space="preserve"> 18.3.26 </t>
  </si>
  <si>
    <t>DISPOSITIVO DR, 4 POLOS, SENSIBILIDADE DE 30 MA, CORRENTE DE 25 A, TIPO AC</t>
  </si>
  <si>
    <t xml:space="preserve"> 18.3.27 </t>
  </si>
  <si>
    <t>DISPOSITIVO DR, 2 POLOS, SENSIBILIDADE DE 30 MA, CORRENTE DE 25 A, TIPO AC</t>
  </si>
  <si>
    <t xml:space="preserve"> 18.3.28 </t>
  </si>
  <si>
    <t>INSTALAÇÃO DE DISJUNTOR  TIPO DIM E SIMILARES INCLUSIVE DR.</t>
  </si>
  <si>
    <t xml:space="preserve"> 18.3.29 </t>
  </si>
  <si>
    <t>INSTALAÇÃO DE DISJUNTOR TERMOMAGNÉTICO</t>
  </si>
  <si>
    <t xml:space="preserve"> 18.4 </t>
  </si>
  <si>
    <t>FIOS E CABOS</t>
  </si>
  <si>
    <t xml:space="preserve"> 18.4.1 </t>
  </si>
  <si>
    <t>CABO DE COBRE FLEXÍVEL ISOLADO, 50 MM², ANTI-CHAMA 0,6/1,0 KV, PARA REDE ENTERRADA DE DISTRIBUIÇÃO DE ENERGIA ELÉTRICA - FORNECIMENTO E INSTALAÇÃO. AF_12/2021</t>
  </si>
  <si>
    <t xml:space="preserve"> 18.4.2 </t>
  </si>
  <si>
    <t>CABO DE COBRE FLEXÍVEL ISOLADO, 70 MM², ANTI-CHAMA 0,6/1,0 KV, PARA REDE ENTERRADA DE DISTRIBUIÇÃO DE ENERGIA ELÉTRICA - FORNECIMENTO E INSTALAÇÃO. AF_12/2021</t>
  </si>
  <si>
    <t xml:space="preserve"> 18.4.3 </t>
  </si>
  <si>
    <t>CABO DE COBRE FLEXÍVEL ISOLADO, 95 MM², ANTI-CHAMA 0,6/1,0 KV, PARA REDE ENTERRADA DE DISTRIBUIÇÃO DE ENERGIA ELÉTRICA - FORNECIMENTO E INSTALAÇÃO. AF_12/2021</t>
  </si>
  <si>
    <t xml:space="preserve"> 18.4.4 </t>
  </si>
  <si>
    <t>CABO DE COBRE FLEXÍVEL ISOLADO, 120 MM², ANTI-CHAMA 0,6/1,0 KV, PARA REDE ENTERRADA DE DISTRIBUIÇÃO DE ENERGIA ELÉTRICA - FORNECIMENTO E INSTALAÇÃO. AF_12/2021</t>
  </si>
  <si>
    <t xml:space="preserve"> 18.4.5 </t>
  </si>
  <si>
    <t>CABO DE COBRE FLEXÍVEL ISOLADO, 185 MM², ANTI-CHAMA 0,6/1,0 KV, PARA REDE ENTERRADA DE DISTRIBUIÇÃO DE ENERGIA ELÉTRICA - FORNECIMENTO E INSTALAÇÃO. AF_12/2021</t>
  </si>
  <si>
    <t xml:space="preserve"> 18.4.6 </t>
  </si>
  <si>
    <t>CABO DE COBRE FLEXÍVEL ISOLADO, 240 MM², ANTI-CHAMA 0,6/1,0 KV, PARA REDE ENTERRADA DE DISTRIBUIÇÃO DE ENERGIA ELÉTRICA - FORNECIMENTO E INSTALAÇÃO. AF_12/2021</t>
  </si>
  <si>
    <t xml:space="preserve"> 18.4.7 </t>
  </si>
  <si>
    <t>CABO DE COBRE FLEXÍVEL ISOLADO, 300 MM², ANTI-CHAMA 0,6/1,0 KV, PARA REDE ENTERRADA DE DISTRIBUIÇÃO DE ENERGIA ELÉTRICA - FORNECIMENTO E INSTALAÇÃO. AF_12/2021</t>
  </si>
  <si>
    <t xml:space="preserve"> 18.5 </t>
  </si>
  <si>
    <t>LUMINÁRIAS</t>
  </si>
  <si>
    <t xml:space="preserve"> 18.5.1 </t>
  </si>
  <si>
    <t>LUMINÁRIA TIPO CALHA, DE SOBREPOR, COM 2 LÂMPADAS TUBULARES FLUORESCENTES DE 18 W, COM REATOR DE PARTIDA RÁPIDA - FORNECIMENTO E INSTALAÇÃO. AF_02/2020</t>
  </si>
  <si>
    <t xml:space="preserve"> 18.5.2 </t>
  </si>
  <si>
    <t>LUMINÁRIA ARANDELA TIPO MEIA LUA, DE SOBREPOR, COM 1 LÂMPADA FLUORESCENTE DE 15 W, SEM REATOR - FORNECIMENTO E INSTALAÇÃO. AF_02/2020</t>
  </si>
  <si>
    <t xml:space="preserve"> 18.5.3 </t>
  </si>
  <si>
    <t xml:space="preserve"> 18.5.4 </t>
  </si>
  <si>
    <t>LUMINÁRIA TIPO SPOT, DE SOBREPOR, COM 2 LÂMPADAS FLUORESCENTES DE 15 W, SEM REATOR - FORNECIMENTO E INSTALAÇÃO. AF_02/2020</t>
  </si>
  <si>
    <t xml:space="preserve"> 18.5.5 </t>
  </si>
  <si>
    <t>LUMINÁRIA ARANDELA TIPO TARTARUGA, DE SOBREPOR, COM 1 LÂMPADA LED DE 6 W, SEM REATOR - FORNECIMENTO E INSTALAÇÃO. AF_02/2020</t>
  </si>
  <si>
    <t xml:space="preserve"> 18.5.6 </t>
  </si>
  <si>
    <t>LUMINÁRIA TIPO PLAFON EM PLÁSTICO, DE SOBREPOR, COM 1 LÂMPADA FLUORESCENTE DE 15 W, SEM REATOR - FORNECIMENTO E INSTALAÇÃO. AF_02/2020</t>
  </si>
  <si>
    <t xml:space="preserve"> 18.5.7 </t>
  </si>
  <si>
    <t>RELÉ FOTOELÉTRICO PARA COMANDO DE ILUMINAÇÃO EXTERNA 1000 W - FORNECIMENTO E INSTALAÇÃO. AF_08/2020</t>
  </si>
  <si>
    <t xml:space="preserve"> 18.5.8 </t>
  </si>
  <si>
    <t>LUMINÁRIA DE EMERGÊNCIA, COM 30 LÂMPADAS LED DE 2 W, SEM REATOR - FORNECIMENTO E INSTALAÇÃO. AF_02/2020</t>
  </si>
  <si>
    <t xml:space="preserve"> 18.5.9 </t>
  </si>
  <si>
    <t>SENSOR DE PRESENÇA COM FOTOCÉLULA, FIXAÇÃO EM TETO - FORNECIMENTO E INSTALAÇÃO. AF_02/2020</t>
  </si>
  <si>
    <t xml:space="preserve"> 18.5.10 </t>
  </si>
  <si>
    <t>FITA ISOLANTE DE BORRACHA AUTOFUSAO, USO ATE 69 KV (ALTA TENSAO)</t>
  </si>
  <si>
    <t xml:space="preserve"> 18.5.11 </t>
  </si>
  <si>
    <t>FITA ISOLANTE ADESIVA ANTICHAMA, USO ATE 750 V, EM ROLO DE 19 MM X 20 M</t>
  </si>
  <si>
    <t xml:space="preserve"> 18.6 </t>
  </si>
  <si>
    <t>RAMAL DE ENTRADA E SUBESTAÇÃO ABRIGADA</t>
  </si>
  <si>
    <t xml:space="preserve"> 18.6.1 </t>
  </si>
  <si>
    <t>ENTRADA DE ENERGIA ELÉTRICA, AÉREA, TRIFÁSICA, COM CAIXA DE EMBUTIR, CABO DE 35 MM2 E DISJUNTOR DIN 50A (NÃO INCLUSO O POSTE DE CONCRETO). AF_07/2020_PS</t>
  </si>
  <si>
    <t xml:space="preserve"> 18.6.2 </t>
  </si>
  <si>
    <t>ASSENTAMENTO DE POSTE DE CONCRETO COM COMPRIMENTO NOMINAL DE 10 M, CARGA NOMINAL MENOR OU IGUAL A 1000 DAN, ENGASTAMENTO SIMPLES COM 1,6 M DE SOLO (NÃO INCLUI FORNECIMENTO). AF_11/2019</t>
  </si>
  <si>
    <t xml:space="preserve"> 18.6.3 </t>
  </si>
  <si>
    <t>POSTE DE CONCRETO ARMADO DE SECAO DUPLO T, EXTENSAO DE 10,00 M, RESISTENCIA DE 600 DAN, TIPO B</t>
  </si>
  <si>
    <t xml:space="preserve"> 18.6.4 </t>
  </si>
  <si>
    <t>TRANSFORMADOR DE DISTRIBUIÇÃO, 500KVA, TRIFÁSICO, 60 HZ, CLASSE 15 KV, IMERSO EM ÓLEO MINERAL, INSTALAÇÃO EM SOLO (NÃO INCLUSO ABRIGO) - FORNECIMENTO E INSTALAÇÃO. AF_02/2022</t>
  </si>
  <si>
    <t xml:space="preserve"> 18.6.5 </t>
  </si>
  <si>
    <t>ISOLADOR, TIPO DISCO, PARA TENSÃO 15 KV - FORNECIMENTO E INSTALAÇÃO. AF_07/2020</t>
  </si>
  <si>
    <t xml:space="preserve"> 18.6.6 </t>
  </si>
  <si>
    <t>ALÇA PREFORMADA DE DISTRIBUIÇÃO, EM  AÇO GALVANIZADO, AWG 2 - FORNECIMENTO E INSTALAÇÃO. AF_07/2020</t>
  </si>
  <si>
    <t xml:space="preserve"> 18.6.7 </t>
  </si>
  <si>
    <t>CAIXA DE PROTECAO EXTERNA PARA MEDIDOR HOROSAZONAL, DE BAIXA TENSAO, COM MODULO, EM CHAPA DE ACO (PADRAO DA CONCESSIONARIA LOCAL)</t>
  </si>
  <si>
    <t xml:space="preserve"> 18.6.8 </t>
  </si>
  <si>
    <t>TERMINAL A COMPRESSAO EM COBRE ESTANHADO PARA CABO 50 MM2, 1 FURO E 1 COMPRESSAO, PARA PARAFUSO DE FIXACAO M8</t>
  </si>
  <si>
    <t xml:space="preserve"> 18.6.9 </t>
  </si>
  <si>
    <t>TERMINAL A COMPRESSAO EM COBRE ESTANHADO PARA CABO 70 MM2, 1 FURO E 1 COMPRESSAO, PARA PARAFUSO DE FIXACAO M10</t>
  </si>
  <si>
    <t xml:space="preserve"> 18.6.10 </t>
  </si>
  <si>
    <t>FITA ACO INOX PARA CINTAR POSTE, L = 19 MM, E = 0,5 MM (ROLO DE 30M)</t>
  </si>
  <si>
    <t xml:space="preserve"> 18.6.11 </t>
  </si>
  <si>
    <t>TERMINAL COMPRESSAO CABO FLEXIVEL 120MM 2 FUROS 120MM</t>
  </si>
  <si>
    <t xml:space="preserve"> 18.7 </t>
  </si>
  <si>
    <t>ATERRAMENTO E SPDA</t>
  </si>
  <si>
    <t xml:space="preserve"> 18.7.1 </t>
  </si>
  <si>
    <t>CORDOALHA DE COBRE NU 50 MM², ENTERRADA, SEM ISOLADOR - FORNECIMENTO E INSTALAÇÃO. AF_12/2017</t>
  </si>
  <si>
    <t xml:space="preserve"> 18.7.2 </t>
  </si>
  <si>
    <t>INSTALAÇÃO DE SINALIZADOR NOTURNO LED. AF_11/2017</t>
  </si>
  <si>
    <t xml:space="preserve"> 18.7.3 </t>
  </si>
  <si>
    <t>HASTE DE ATERRAMENTO 5/8  PARA SPDA - FORNECIMENTO E INSTALAÇÃO. AF_12/2017</t>
  </si>
  <si>
    <t xml:space="preserve"> 18.7.4 </t>
  </si>
  <si>
    <t>CAIXA DE INSPEÇÃO PARA ATERRAMENTO, CIRCULAR, EM POLIETILENO, DIÂMETRO INTERNO = 0,3 M. AF_12/2020</t>
  </si>
  <si>
    <t xml:space="preserve"> 18.7.5 </t>
  </si>
  <si>
    <t>VERGALHAO ZINCADO ROSCA TOTAL, 1/4 " (6,3 MM)</t>
  </si>
  <si>
    <t xml:space="preserve"> 18.7.6 </t>
  </si>
  <si>
    <t>GRAMPO U DE 5/8 " N8 EM FERRO GALVANIZADO</t>
  </si>
  <si>
    <t xml:space="preserve"> 18.7.7 </t>
  </si>
  <si>
    <t>MASTRO 1 ½  PARA SPDA - FORNECIMENTO E INSTALAÇÃO. AF_12/2017</t>
  </si>
  <si>
    <t xml:space="preserve"> 18.7.8 </t>
  </si>
  <si>
    <t>BASE METÁLICA PARA MASTRO 1 ½  PARA SPDA - FORNECIMENTO E INSTALAÇÃO. AF_12/2017</t>
  </si>
  <si>
    <t xml:space="preserve"> 18.7.9 </t>
  </si>
  <si>
    <t>CABO DE COBRE NU MEIO DURO 7 FIOS 150mm2</t>
  </si>
  <si>
    <t xml:space="preserve"> 18.8 </t>
  </si>
  <si>
    <t>ELETROCALHAS, INCLUSIVE TAMPA E ACESSÓRIOS</t>
  </si>
  <si>
    <t xml:space="preserve"> 18.8.1 </t>
  </si>
  <si>
    <t>ELETROCALHA PERFURADA TIPO ""U"" 100X100 CHAPA 22 SEM TAMPA</t>
  </si>
  <si>
    <t xml:space="preserve"> 18.8.2 </t>
  </si>
  <si>
    <t>ELETROCALHA PERFURADA TIPO ""U"" 100x75mm CHAPA 20 S/ TAMPA</t>
  </si>
  <si>
    <t xml:space="preserve"> 18.8.3 </t>
  </si>
  <si>
    <t>ELETROCALHA PERFURADA TIPO ""U"" 100X50 CHAPA 20 SEM TAMPA</t>
  </si>
  <si>
    <t xml:space="preserve"> 18.8.4 </t>
  </si>
  <si>
    <t>ELETROCALHA PERFURADA TIPO ""U"" 150X100 CHAPA 18 SEM TAMPA</t>
  </si>
  <si>
    <t xml:space="preserve"> 18.8.5 </t>
  </si>
  <si>
    <t>ELETROCALHA LISA TIPO ""U"" 150x75 CHAPA 18 SEM TAMPA</t>
  </si>
  <si>
    <t xml:space="preserve"> 18.8.6 </t>
  </si>
  <si>
    <t>ELETROCALHA PERFURADA TIPO ""U"" 200X100 CHAPA 22 SEM TAMPA</t>
  </si>
  <si>
    <t xml:space="preserve"> 18.8.7 </t>
  </si>
  <si>
    <t>ELETROCALHA PERFURADA TIPO ""U"" 300X100 CHAPA 18 SEM TAMPA</t>
  </si>
  <si>
    <t xml:space="preserve"> 18.8.8 </t>
  </si>
  <si>
    <t>ELETROCALHA PERFURADA TIPO ""U"" 400x75mm CHAPA 16 SEM TAMPA</t>
  </si>
  <si>
    <t xml:space="preserve"> 18.8.9 </t>
  </si>
  <si>
    <t>ELETROCALHA PERFURADA 400x150x3000mm CHAPA 18</t>
  </si>
  <si>
    <t xml:space="preserve"> 18.8.10 </t>
  </si>
  <si>
    <t>ELETROCALHA PERFURADA TIPO ""U"" 75X50CM CHAPA 18 SEM TAMPA</t>
  </si>
  <si>
    <t xml:space="preserve"> 18.8.11 </t>
  </si>
  <si>
    <t>ELETROCALHA PERFURADA TIPO ""U"" 75x75mm CHAPA 18 SEM TAMPA</t>
  </si>
  <si>
    <t xml:space="preserve"> 18.8.12 </t>
  </si>
  <si>
    <t>ELETROCALHA PERFURADA TIPO ""U"" 50X50 CHAPA 18 SEM TAMPA</t>
  </si>
  <si>
    <t xml:space="preserve"> 18.8.13 </t>
  </si>
  <si>
    <t>PERFILADO PERFURADO 38x19x3000mm CHAPA 16</t>
  </si>
  <si>
    <t xml:space="preserve"> 18.8.14 </t>
  </si>
  <si>
    <t>PERFILADO PERFURADO 38x38x6000mm CHAPA 22</t>
  </si>
  <si>
    <t xml:space="preserve"> 19 </t>
  </si>
  <si>
    <t>ELEVADOR</t>
  </si>
  <si>
    <t xml:space="preserve"> 19.1 </t>
  </si>
  <si>
    <t>Elevador elétrico social para 12 passageiros ou 900kg, com 07 paradas, painéis e teto em aço escovado, corrimão tubular, portas aço inox, cabina 1,20-frente x 2,20-fundo x altura 2,2m inoxidável,</t>
  </si>
  <si>
    <t xml:space="preserve"> 19.2 </t>
  </si>
  <si>
    <t>PLATAFORMA ELEVATORIA DE TRANSPORTE VERTICAL, DESNIVEL DE 2,0 ATE 4,00m CABINADA EM ACO INOX, PORTAS UNILATERAL OU OPOSTAS - ENCLAUSURAMENTO EM ESTRUTURA DE ACO E VIDRO</t>
  </si>
  <si>
    <t xml:space="preserve"> 19.3</t>
  </si>
  <si>
    <t>ELEVADOR DE CARGA 3m 300KG 220V MONTA CARGA</t>
  </si>
  <si>
    <t xml:space="preserve"> 19.4 </t>
  </si>
  <si>
    <t>Elevador elétrico social para 08 passageiros ou 600kg, com 07 paradas, paineis e teto em aço escovado, corrimão tubular, portas aço inoxi, cabina 1,20-frente x 1,40-fundo x altura 2,2m inoxidável, Atlas Schindler 3300, modelo Mediterranée ou similar</t>
  </si>
  <si>
    <t xml:space="preserve"> 20 </t>
  </si>
  <si>
    <t>INSTALAÇÃO DE COMBATE A INCENDIO E PÁNICO</t>
  </si>
  <si>
    <t xml:space="preserve"> 20.1 </t>
  </si>
  <si>
    <t>TUBO DE AÇO GALVANIZADO COM COSTURA, CLASSE MÉDIA, CONEXÃO RANHURADA, DN 65 (2 1/2"), INSTALADO EM PRUMADAS - FORNECIMENTO E INSTALAÇÃO. AF_10/2020</t>
  </si>
  <si>
    <t xml:space="preserve"> 20.2 </t>
  </si>
  <si>
    <t>JOELHO 90 GRAUS, EM FERRO GALVANIZADO, CONEXÃO ROSQUEADA, DN 65 (2 1/2"), INSTALADO EM REDE DE ALIMENTAÇÃO PARA SPRINKLER - FORNECIMENTO E INSTALAÇÃO. AF_10/2020</t>
  </si>
  <si>
    <t xml:space="preserve"> 20.3 </t>
  </si>
  <si>
    <t>TÊ, EM FERRO GALVANIZADO, CONEXÃO ROSQUEADA, DN 65 (2 1/2), INSTALADO EM RESERVAÇÃO DE ÁGUA DE EDIFICAÇÃO QUE POSSUA RESERVATÓRIO DE FIBRA/FIBROCIMENTO  FORNECIMENTO E INSTALAÇÃO. AF_06/2016</t>
  </si>
  <si>
    <t xml:space="preserve"> 20.4 </t>
  </si>
  <si>
    <t>ABRIGO PARA HIDRANTE, 75X45X17CM, COM REGISTRO GLOBO ANGULAR 45 GRAUS 2 1/2", ADAPTADOR STORZ 2 1/2", MANGUEIRA DE INCÊNDIO 15M 2 1/2" E ESGUICHO EM LATÃO 2 1/2" - FORNECIMENTO E INSTALAÇÃO. AF_10/2020</t>
  </si>
  <si>
    <t xml:space="preserve"> 20.5 </t>
  </si>
  <si>
    <t>REGISTRO OU VÁLVULA GLOBO ANGULAR EM LATÃO, PARA HIDRANTES EM INSTALAÇÃO PREDIAL DE INCÊNDIO, 45 GRAUS, 2 1/2" - FORNECIMENTO E INSTALAÇÃO. AF_08/2021</t>
  </si>
  <si>
    <t xml:space="preserve"> 20.6 </t>
  </si>
  <si>
    <t>EXTINTOR DE INCÊNDIO PORTÁTIL COM CARGA DE CO2 DE 6 KG, CLASSE BC - FORNECIMENTO E INSTALAÇÃO. AF_10/2020_PE</t>
  </si>
  <si>
    <t xml:space="preserve"> 20.7 </t>
  </si>
  <si>
    <t>EXTINTOR DE INCÊNDIO PORTÁTIL COM CARGA DE PQS DE 6 KG, CLASSE BC - FORNECIMENTO E INSTALAÇÃO. AF_10/2020_PE</t>
  </si>
  <si>
    <t xml:space="preserve"> 20.8 </t>
  </si>
  <si>
    <t>SINALIZAÇÃO  DE INCÊNDIO</t>
  </si>
  <si>
    <t xml:space="preserve"> 20.9 </t>
  </si>
  <si>
    <t>SIRENE AUDIO VISUAL ALARME DE INCENDIO ILUMAC SAF-C 24VCC</t>
  </si>
  <si>
    <t xml:space="preserve"> 20.10 </t>
  </si>
  <si>
    <t>TAMPAO FOFO SIMPLES, CLASSE A15 CARGA MAX 1,5 T, 550 X 1100 MM (COM INSCRICAO EM RELEVO DO TIPO DE REDE)(INCENDIO)</t>
  </si>
  <si>
    <t xml:space="preserve"> 20.11 </t>
  </si>
  <si>
    <t>CENTRAL DE ALARME DE INCENDIO INTELBRAS CIE 1250 ENDERECAVEL 1 LACO COM ATE 250 ENDERECOS 24VDC</t>
  </si>
  <si>
    <t xml:space="preserve"> 20.12 </t>
  </si>
  <si>
    <t>ACIONADOR MANUAL DE ALARME CONTRA INCENDIO</t>
  </si>
  <si>
    <t xml:space="preserve"> 20.13 </t>
  </si>
  <si>
    <t>BLOCO AUTONOMO 300 LUMENS</t>
  </si>
  <si>
    <t xml:space="preserve"> 20.14 </t>
  </si>
  <si>
    <t>DETECTOR (SENSOR) DE FUMACA COM BASE - ENDERECAVEL DTI-700 J</t>
  </si>
  <si>
    <t xml:space="preserve"> 20.15 </t>
  </si>
  <si>
    <t>BLOCO AUTONOMO P/ SINALIZACAO DE SÄ́A DE EMERGʎCIA DE TETO</t>
  </si>
  <si>
    <t xml:space="preserve"> 20.16 </t>
  </si>
  <si>
    <t>DETECTOR DE TEMPERATURA ENDERECAVEL DTC 420 INTELBRAS</t>
  </si>
  <si>
    <t xml:space="preserve"> 20.17 </t>
  </si>
  <si>
    <t>INSTALAÇÃO DE CENTRAL DE ALARME DE INCÊNDIO</t>
  </si>
  <si>
    <t xml:space="preserve"> 20.18 </t>
  </si>
  <si>
    <t>(BASEADA NA COMPOSIÇÃO SINAPI 97599 ) , INSTALAÇÃO DE BLOCO AUTONOMO 300 LUMENS</t>
  </si>
  <si>
    <t xml:space="preserve"> 20.19 </t>
  </si>
  <si>
    <t>MODIFICADA (TAMPAO DE FERRO FUNDIDO )INSTALAÇÃO</t>
  </si>
  <si>
    <t xml:space="preserve"> 21 </t>
  </si>
  <si>
    <t>DIVERSOS</t>
  </si>
  <si>
    <t xml:space="preserve"> 21.1 </t>
  </si>
  <si>
    <t>BANCADA/TAMPO SECO EM GRANITO BRANCO SIENA</t>
  </si>
  <si>
    <t>m²</t>
  </si>
  <si>
    <t xml:space="preserve"> 21.2 </t>
  </si>
  <si>
    <t>CLARABOIA EM PERFIL DE ALUMINIO E DOMO ACRILICO</t>
  </si>
  <si>
    <t xml:space="preserve"> 21.3 </t>
  </si>
  <si>
    <t>CORRIMAO EM TUBO ACO 1"" PINTADO EM ESMALTE</t>
  </si>
  <si>
    <t xml:space="preserve"> 21.4 </t>
  </si>
  <si>
    <t>CORRIMAO EM TUBO DE AǏ INOX ؽ1 1/2""</t>
  </si>
  <si>
    <t xml:space="preserve"> 22 </t>
  </si>
  <si>
    <t>JARDINAGEM</t>
  </si>
  <si>
    <t xml:space="preserve"> 22.1 </t>
  </si>
  <si>
    <t>MODIFICADO(PLANTIO DE GRAMA ESMERALDA OU SÃO CARLOS OU CURITIBANA, EM PLACAS. AF_05/2022</t>
  </si>
  <si>
    <t xml:space="preserve"> 22.2 </t>
  </si>
  <si>
    <t>PLANTIO DE ARBUSTO OU  CERCA VIVA. AF_05/2018</t>
  </si>
  <si>
    <t xml:space="preserve"> 22.3 </t>
  </si>
  <si>
    <t>ARGILA OU BARRO PARA ATERRO/REATERRO (COM TRANSPORTE ATE 10 KM)</t>
  </si>
  <si>
    <t>m³</t>
  </si>
  <si>
    <t xml:space="preserve"> 23 </t>
  </si>
  <si>
    <t>LÓGICA</t>
  </si>
  <si>
    <t xml:space="preserve"> 23.1 </t>
  </si>
  <si>
    <t>CABEAMENTO EXTRUTURADO (FIBRA ÓPTICA)</t>
  </si>
  <si>
    <t xml:space="preserve"> 23.1.2 </t>
  </si>
  <si>
    <t>CABO DE FIBRA OPTICA 6 FIBRAS - PADRAO MONOMODO</t>
  </si>
  <si>
    <t xml:space="preserve"> 23.1.3 </t>
  </si>
  <si>
    <t>CABO DE FIBRA OPTICA 1fo - PADRAO MONOMODO</t>
  </si>
  <si>
    <t>m</t>
  </si>
  <si>
    <t>ONU GPON HG1 MODEM BRIDGE</t>
  </si>
  <si>
    <t xml:space="preserve"> 23.1.5 </t>
  </si>
  <si>
    <t>CERTIFICACAO DE CABEAMENTO DE FIBRA OPTICA</t>
  </si>
  <si>
    <t>CJ</t>
  </si>
  <si>
    <t xml:space="preserve"> 23.1.6 </t>
  </si>
  <si>
    <t>ELETROCALHA LISA TIPO ""U"" 50x50mm CHAPA 20 SEM TAMPA</t>
  </si>
  <si>
    <t xml:space="preserve"> 23.1.7 </t>
  </si>
  <si>
    <t xml:space="preserve"> 24 </t>
  </si>
  <si>
    <t>REFORMA  E RECUPERAÇÃO ESTRUTURAL  DAS CASAS SETOR (1 E 2)</t>
  </si>
  <si>
    <t xml:space="preserve"> 24.1 </t>
  </si>
  <si>
    <t>SERVIÇOS PRELIMINARES (CASAS SETOR 1 E 2)</t>
  </si>
  <si>
    <t xml:space="preserve"> 24.1.1 </t>
  </si>
  <si>
    <t>LIMPEZA DE SUPERFÍCIE COM JATO DE ALTA PRESSÃO. AF_04/2019</t>
  </si>
  <si>
    <t xml:space="preserve"> 24.1.2 </t>
  </si>
  <si>
    <t>CORTE RASO E RECORTE DE ÁRVORE COM DIÂMETRO DE TRONCO MAIOR OU IGUAL A 0,60 M.AF_05/2018</t>
  </si>
  <si>
    <t xml:space="preserve"> 24.1.3 </t>
  </si>
  <si>
    <t>CORTE RASO E RECORTE DE ÁRVORE COM DIÂMETRO DE TRONCO MAIOR OU IGUAL A 0,40 M E MENOR QUE 0,60 M.AF_05/2018</t>
  </si>
  <si>
    <t xml:space="preserve"> 24.1.4 </t>
  </si>
  <si>
    <t>REMOÇÃO DE RAÍZES REMANESCENTES DE TRONCO DE ÁRVORE COM DIÂMETRO MAIOR OU IGUAL A 0,40 M E MENOR QUE 0,60 M.AF_05/2018</t>
  </si>
  <si>
    <t xml:space="preserve"> 24.1.6 </t>
  </si>
  <si>
    <t>REVOLVIMENTO E LIMPEZA MANUAL DE SOLO. AF_05/2018</t>
  </si>
  <si>
    <t xml:space="preserve"> 24.1.7 </t>
  </si>
  <si>
    <t>RETROESCAVADEIRA SOBRE RODAS COM CARREGADEIRA, TRAÇÃO 4X4, POTÊNCIA LÍQ. 72 HP, CAÇAMBA CARREG. CAP. MÍN. 0,79 M3, CAÇAMBA RETRO CAP. 0,18 M3, PESO OPERACIONAL MÍN. 7.140 KG, PROFUNDIDADE ESCAVAÇÃO MÁX. 4,50 M - CHP DIURNO. AF_06/2014</t>
  </si>
  <si>
    <t>CHP</t>
  </si>
  <si>
    <t xml:space="preserve"> 24.1.8 </t>
  </si>
  <si>
    <t>DEMOLIÇÃO DE PILARES E VIGAS EM CONCRETO ARMADO, DE FORMA MANUAL, SEM REAPROVEITAMENTO. AF_12/2017</t>
  </si>
  <si>
    <t xml:space="preserve"> 24.1.9 </t>
  </si>
  <si>
    <t>CORTADORA DE PISO COM MOTOR 4 TEMPOS A GASOLINA, POTÊNCIA DE 13 HP, COM DISCO DE CORTE DIAMANTADO SEGMENTADO PARA CONCRETO, DIÂMETRO DE 350 MM, FURO DE 1" (14 X 1") - CHP DIURNO. AF_08/2015</t>
  </si>
  <si>
    <t xml:space="preserve"> 24.1.10 </t>
  </si>
  <si>
    <t>DEMOLIÇÃO DE ARGAMASSAS, DE FORMA MANUAL, SEM REAPROVEITAMENTO. AF_12/2017</t>
  </si>
  <si>
    <t xml:space="preserve"> 24.1.11 </t>
  </si>
  <si>
    <t>REMOÇÃO DE PORTAS, DE FORMA MANUAL, SEM REAPROVEITAMENTO. AF_12/2017</t>
  </si>
  <si>
    <t xml:space="preserve"> 24.1.12 </t>
  </si>
  <si>
    <t>DEMOLIÇÃO DE ALVENARIA DE TIJOLO MACIÇO, DE FORMA MANUAL, SEM REAPROVEITAMENTO. AF_12/2017</t>
  </si>
  <si>
    <t xml:space="preserve"> 24.2 </t>
  </si>
  <si>
    <t>FUNDAÇÃO E ESTRUTURA</t>
  </si>
  <si>
    <t xml:space="preserve"> 24.2.1 </t>
  </si>
  <si>
    <t>LASTRO DE CONCRETO MAGRO, APLICADO EM PISOS, LAJES SOBRE SOLO OU RADIERS. AF_08/2017</t>
  </si>
  <si>
    <t xml:space="preserve"> 24.2.2 </t>
  </si>
  <si>
    <t>ARMAÇÃO PARA EXECUÇÃO DE RADIER, PISO DE CONCRETO OU LAJE SOBRE SOLO, COM USO DE TELA Q-283. AF_09/2021</t>
  </si>
  <si>
    <t xml:space="preserve"> 24.2.3 </t>
  </si>
  <si>
    <t>ARMAÇÃO DE BLOCO, VIGA BALDRAME OU SAPATA UTILIZANDO AÇO CA-50 DE 10 MM - MONTAGEM. AF_06/2017</t>
  </si>
  <si>
    <t xml:space="preserve"> 24.2.4 </t>
  </si>
  <si>
    <t>CONCRETAGEM DE SAPATAS, FCK 30 MPA, COM USO DE BOMBA  LANÇAMENTO, ADENSAMENTO E ACABAMENTO. AF_11/2016</t>
  </si>
  <si>
    <t xml:space="preserve"> 24.2.5 </t>
  </si>
  <si>
    <t>LAJE PRÉ-MOLDADA UNIDIRECIONAL, BIAPOIADA, PARA PISO, ENCHIMENTO EM CERÂMICA, VIGOTA CONVENCIONAL, ALTURA TOTAL DA LAJE (ENCHIMENTO+CAPA) = (8+4). AF_11/2020_PA</t>
  </si>
  <si>
    <t xml:space="preserve"> 24.2.6 </t>
  </si>
  <si>
    <t xml:space="preserve"> 24.2.7 </t>
  </si>
  <si>
    <t xml:space="preserve"> 24.3 </t>
  </si>
  <si>
    <t>COBERTA</t>
  </si>
  <si>
    <t xml:space="preserve"> 24.3.1 </t>
  </si>
  <si>
    <t>TRAMA DE MADEIRA COMPOSTA POR RIPAS, CAIBROS E TERÇAS PARA TELHADOS DE ATÉ 2 ÁGUAS PARA TELHA DE ENCAIXE DE CERÂMICA OU DE CONCRETO, INCLUSO TRANSPORTE VERTICAL. AF_07/2019</t>
  </si>
  <si>
    <t xml:space="preserve"> 24.3.2 </t>
  </si>
  <si>
    <t>TELHAMENTO COM TELHA CERÂMICA CAPA-CANAL, TIPO PLAN, COM MAIS DE 2 ÁGUAS, INCLUSO TRANSPORTE VERTICAL. AF_07/2019</t>
  </si>
  <si>
    <t xml:space="preserve"> 24.3.3 </t>
  </si>
  <si>
    <t>FABRICAÇÃO E INSTALAÇÃO DE TESOURA INTEIRA EM MADEIRA NÃO APARELHADA, VÃO DE 12 M, PARA TELHA CERÂMICA OU DE CONCRETO, INCLUSO IÇAMENTO. AF_07/2019</t>
  </si>
  <si>
    <t xml:space="preserve"> 24.3.4 </t>
  </si>
  <si>
    <t>EMBOÇAMENTO COM ARGAMASSA TRAÇO 1:2:9 (CIMENTO, CAL E AREIA). AF_07/2019</t>
  </si>
  <si>
    <t xml:space="preserve"> 24.4 </t>
  </si>
  <si>
    <t xml:space="preserve"> 24.4.1 </t>
  </si>
  <si>
    <t>(ALTERADA) BANCADA DE GRANITO CINZA POLIDO,(1,46*0,4)m PARA PIA DE COZINHA - FORNECIMENTO E INSTALAÇÃO. AF_01/2020</t>
  </si>
  <si>
    <t xml:space="preserve"> 24.4.2 </t>
  </si>
  <si>
    <t>CUBA DE EMBUTIR DE AÇO INOXIDÁVEL MÉDIA, INCLUSO VÁLVULA TIPO AMERICANA E SIFÃO TIPO GARRAFA EM METAL CROMADO - FORNECIMENTO E INSTALAÇÃO. AF_01/2020</t>
  </si>
  <si>
    <t xml:space="preserve"> 24.4.3 </t>
  </si>
  <si>
    <t>TORNEIRA CROMADA TUBO MÓVEL, DE MESA, 1/2 OU 3/4, PARA PIA DE COZINHA, PADRÃO ALTO - FORNECIMENTO E INSTALAÇÃO. AF_01/2020</t>
  </si>
  <si>
    <t xml:space="preserve"> 24.4.4 </t>
  </si>
  <si>
    <t>(ALTERADA)BANCADA DE GRANITO CINZA  POLIDO,(0,40x0,40)m PARA LAVATÓRIO - FORNECIMENTO E INSTALAÇÃO. AF_01/2020</t>
  </si>
  <si>
    <t xml:space="preserve"> 24.4.5 </t>
  </si>
  <si>
    <t>CUBA DE EMBUTIR OVAL EM LOUÇA BRANCA, DIAMETRO ,40CM OU EQUIVALENTE, INCLUSO VÁLVULA EM METAL CROMADO E SIFÃO FLEXÍVEL EM PVC - FORNECIMENTO E INSTALAÇÃO. AF_01/2020</t>
  </si>
  <si>
    <t xml:space="preserve"> 24.4.6 </t>
  </si>
  <si>
    <t xml:space="preserve"> 24.4.7 </t>
  </si>
  <si>
    <t>GRAUTEAMENTO VERTICAL EM ALVENARIA ESTRUTURAL. AF_09/2021</t>
  </si>
  <si>
    <t xml:space="preserve"> 24.4.8 </t>
  </si>
  <si>
    <t>GRAUTEAMENTO DE CINTA INTERMEDIÁRIA OU DE CONTRAVERGA EM ALVENARIA ESTRUTURAL. AF_09/2021</t>
  </si>
  <si>
    <t xml:space="preserve"> 24.4.9 </t>
  </si>
  <si>
    <t>ESCARIFICACAO DE SUPERFICIES DE CONCRETO-MEIO MECANICO</t>
  </si>
  <si>
    <t xml:space="preserve"> 24.4.10 </t>
  </si>
  <si>
    <t>Restauro - Execução de ornato com confecção de molde e fôrma - 02 usos</t>
  </si>
  <si>
    <t xml:space="preserve"> 24.4.11 </t>
  </si>
  <si>
    <t>GRADIL EM FERRO FIXADO EM VÃOS DE JANELAS, FORMADO POR BARRAS CHATAS DE 25X4,8 MM. AF_04/2019</t>
  </si>
  <si>
    <t xml:space="preserve"> 24.5 </t>
  </si>
  <si>
    <t>REBOCO</t>
  </si>
  <si>
    <t xml:space="preserve"> 24.5.1 </t>
  </si>
  <si>
    <t>CHAPISCO APLICADO EM ALVENARIAS E ESTRUTURAS DE CONCRETO INTERNAS, COM COLHER DE PEDREIRO.  ARGAMASSA TRAÇO 1:3 COM PREPARO EM BETONEIRA 400L. AF_10/2022</t>
  </si>
  <si>
    <t xml:space="preserve"> 24.5.2 </t>
  </si>
  <si>
    <t>(BEIRA BICO )EMBOÇO OU MASSA ÚNICA EM ARGAMASSA TRAÇO 1:2:8, PREPARO MECÂNICA COM BETONEIRA 400 L, APLICADA MANUALMENTE EM SUPERFÍCIES EXTERNAS DA SACADA, ESPESSURA DE 35 MM, ACESSO POR ANDAIME, SEM USO DE TELA METÁLICA. AF_08/2022</t>
  </si>
  <si>
    <t xml:space="preserve"> 24.5.3 </t>
  </si>
  <si>
    <t xml:space="preserve"> 24.5.3.1 </t>
  </si>
  <si>
    <t xml:space="preserve"> 24.5.3.2 </t>
  </si>
  <si>
    <t>APLICAÇÃO MANUAL DE MASSA ACRÍLICA EM PANOS DE FACHADA SEM PRESENÇA DE VÃOS, DE EDIFÍCIOS DE MÚLTIPLOS PAVIMENTOS, DUAS DEMÃOS. AF_05/2017</t>
  </si>
  <si>
    <t xml:space="preserve"> 24.5.3.3 </t>
  </si>
  <si>
    <t>APLICAÇÃO MANUAL DE TINTA LÁTEX ACRÍLICA EM PANOS SEM PRESENÇA DE VÃOS DE EDIFÍCIOS DE MÚLTIPLOS PAVIMENTOS, DUAS DEMÃOS. AF_11/2016</t>
  </si>
  <si>
    <t xml:space="preserve"> 24.5.3.4 </t>
  </si>
  <si>
    <t>IMPERMEABILIZAÇÃO DE SUPERFÍCIE COM MEMBRANA À BASE DE RESINA ACRÍLICA, 3 DEMÃOS. AF_06/2018</t>
  </si>
  <si>
    <t xml:space="preserve"> 24.5.3.5 </t>
  </si>
  <si>
    <t>PINTURA COM TINTA ALQUÍDICA DE ACABAMENTO (ESMALTE SINTÉTICO ACETINADO) APLICADA A ROLO OU PINCEL SOBRE SUPERFÍCIES METÁLICAS (EXCETO PERFIL) EXECUTADO EM OBRA (02 DEMÃOS). AF_01/2020</t>
  </si>
  <si>
    <t xml:space="preserve"> 25 </t>
  </si>
  <si>
    <t>LIMPEZA FINAL DA OBRA</t>
  </si>
  <si>
    <t xml:space="preserve"> 25.1 </t>
  </si>
  <si>
    <t>OBRA : CONSTRUÇÃO E REFORMA DA NOVA SEDE DA CÂMARA MUNICIPAL DE JOÃO PESSOA</t>
  </si>
  <si>
    <t>Local</t>
  </si>
  <si>
    <t>Área (m²)</t>
  </si>
  <si>
    <t>Altura (m)</t>
  </si>
  <si>
    <t>Comprimento (m)</t>
  </si>
  <si>
    <t>Largura (m)</t>
  </si>
  <si>
    <t>5.0</t>
  </si>
  <si>
    <t>ESTRUTURA</t>
  </si>
  <si>
    <t>5.2</t>
  </si>
  <si>
    <t>Total (kg)</t>
  </si>
  <si>
    <t>% MEDIDO AC</t>
  </si>
  <si>
    <t>COMPOSIÇÃO PARAMÉTRICA PARA FORNECIMENTO E MONTAGEM DE ESTRUTURA METÁLICA PARA ESTRUTURA PRINCIPAL DE EDIFICAÇÕES (PILARES, VIGAS E CONTRAVENTAMENTO).</t>
  </si>
  <si>
    <t>1.0</t>
  </si>
  <si>
    <t>1.1</t>
  </si>
  <si>
    <t>PERÍODO DA MEDIÇÃO: 01/08/2024 À 31/08/2024</t>
  </si>
  <si>
    <t>6.0</t>
  </si>
  <si>
    <t>6.1</t>
  </si>
  <si>
    <t>Casarão (subsolo)</t>
  </si>
  <si>
    <t>Casarão (térreo)</t>
  </si>
  <si>
    <t>Total de alvenaria de vedação de blocos cerâmicos executado (m²)=</t>
  </si>
  <si>
    <t>Total de aministração de obra executado (und) =</t>
  </si>
  <si>
    <t>Total de aministração de obra de contrato (und) =</t>
  </si>
  <si>
    <t>Desconto (m²)</t>
  </si>
  <si>
    <t>MEDIÇÃO 10</t>
  </si>
  <si>
    <t>PERÍODO DA MEDIÇÃO: 01/09/2024 À 30/09/2024</t>
  </si>
  <si>
    <t>4.3.1.3</t>
  </si>
  <si>
    <t>4.3.1.4</t>
  </si>
  <si>
    <t>ESTACA HÉLICE CONTÍNUA, DIÂMETRO DE 40 CM, INCLUSO CONCRETO FCK=30MPA E ARMADURA MÍNIMA (EXCLUSIVE MOBILIZAÇÃO, DESMOBILIZAÇÃO E BOMBEAMENTO).</t>
  </si>
  <si>
    <t>4.3.1.5</t>
  </si>
  <si>
    <t xml:space="preserve">ARRASAMENTO MECANICO DE ESTACA DE CONCRETO ARMADO, DIAMETROS DE ATÉ 40 CM. AF_05/2021 </t>
  </si>
  <si>
    <t>4.3.1.6</t>
  </si>
  <si>
    <t>PEDRA ARGAMASSADA COM CIMENTO E AREIA 1:3, 40% DE ARGAMASSA EM VOLUME  - AREIA E PEDRA DE MÃO COMERCIAIS - FORNECIMENTO E ASSENTAMENTO. AF_08/2022</t>
  </si>
  <si>
    <t xml:space="preserve"> 4.3.2.15</t>
  </si>
  <si>
    <t xml:space="preserve"> 4.3.2.16</t>
  </si>
  <si>
    <t>CONCRETAGEM DE BLOCO DE COROAMENTO OU VIGA BALDRAME, FCK 35 MPA, COM USO DE BOMBA - LANÇAMENTO, ADENSAMENTO E ACABAMENTO</t>
  </si>
  <si>
    <t>ARMAÇÃO DE BLOCO, VIGA BALDRAME E SAPATA UTILIZANDO AÇO CA-50 DE 10 MM - MONTAGEM.</t>
  </si>
  <si>
    <t>5.6</t>
  </si>
  <si>
    <t>ARMAÇÃO DE PILAR OU VIGA DE ESTRUTURA CONVENCIONAL DE CONCRETO ARMADO UTILIZANDO AÇO CA-60 DE 5,0 MM - MONTAGEM. AF_06/2022</t>
  </si>
  <si>
    <t>5.7</t>
  </si>
  <si>
    <t>ARMAÇÃO DE PILAR OU VIGA DE ESTRUTURA CONVENCIONAL DE CONCRETO ARMADO UTILIZANDO AÇO CA-50 DE 6.3 MM - MONTAGEM. AF_06/2022</t>
  </si>
  <si>
    <t>5.8</t>
  </si>
  <si>
    <t>ARMAÇÃO DE PILAR OU VIGA DE ESTRUTURA CONVENCIONAL DE CONCRETO ARMADO UTILIZANDO AÇO CA-50 DE 8.0 MM - MONTAGEM. AF_06/2022</t>
  </si>
  <si>
    <t>5.9</t>
  </si>
  <si>
    <t>5.10</t>
  </si>
  <si>
    <t>ARMAÇÃO DE LAJE DE ESTRUTURA CONVENCIONAL DE CONCRETO ARMADO UTILIZANDO AÇO CA-50 DE 6,3 MM - MONTAGEM. AF_06/2022</t>
  </si>
  <si>
    <t>5.11</t>
  </si>
  <si>
    <t>ARMAÇÃO DE LAJE DE ESTRUTURA CONVENCIONAL DE CONCRETO ARMADO UTILIZANDO AÇO CA-50 DE 8,0 MM - MONTAGEM. AF_06/2022</t>
  </si>
  <si>
    <t>5.12</t>
  </si>
  <si>
    <t>ARMAÇÃO DE LAJE DE ESTRUTURA CONVENCIONAL DE CONCRETO ARMADO UTILIZANDO AÇO CA-50 DE 10,0 MM - MONTAGEM. AF_06/2022</t>
  </si>
  <si>
    <t>5.13</t>
  </si>
  <si>
    <t>ARMAÇÃO DE LAJE DE ESTRUTURA CONVENCIONAL DE CONCRETO ARMADO UTILIZANDO AÇO CA-50 DE 12,5 MM - MONTAGEM. AF_06/2022</t>
  </si>
  <si>
    <t>5.14</t>
  </si>
  <si>
    <t>ARMAÇÃO DE LAJE DE ESTRUTURA CONVENCIONAL DE CONCRETO ARMADO UTILIZANDO AÇO CA-50 DE 16,0 MM - MONTAGEM. AF_06/2022</t>
  </si>
  <si>
    <t>5.15</t>
  </si>
  <si>
    <t>LAJE TRELIÇADA COM TRELIÇAS TG12L E LAJOTAS EM CERÂMICA</t>
  </si>
  <si>
    <t>5.16</t>
  </si>
  <si>
    <t>CONCRETAGEM DE EDIFICAÇÕES (PAREDES E LAJES) , COM CONCRETO USINADO BOMBEÁVEL FCK 35 MPA - LANÇAMENTO, ADENSAMENTO E ACABAMENTO</t>
  </si>
  <si>
    <t>5.17</t>
  </si>
  <si>
    <t>ESCORAMENTO MISTO (METÁLICO E MADEIRA) PARA LAJES, INCLUSIVE MONTAGEM E DESMONTAGEM</t>
  </si>
  <si>
    <t>2.0</t>
  </si>
  <si>
    <t>2.1</t>
  </si>
  <si>
    <t>Área do refeitório (6,55 x 4,80) (m²) =</t>
  </si>
  <si>
    <t>Total da área do refeitório de contrato (m²) =</t>
  </si>
  <si>
    <t>2.2</t>
  </si>
  <si>
    <t>Área do sanitário e vestiário (3,55 x 4,80) (m²) =</t>
  </si>
  <si>
    <t>Total da área do sanitário e vestiário de contrato (m²) =</t>
  </si>
  <si>
    <t>MEMORIAL DE CÁLCULO BM 10</t>
  </si>
  <si>
    <t>Total da área do refeitório à medir (m²) =</t>
  </si>
  <si>
    <t>Total da área do sanitário e vestiário a medir (m²) =</t>
  </si>
  <si>
    <t>3.0</t>
  </si>
  <si>
    <t>3.2</t>
  </si>
  <si>
    <t>DEMOLIÇÃO DE ALVENARIA DE BLOCO FURADO, DE FORMA MANUAL, SEM REAPROVEITAMENTO.</t>
  </si>
  <si>
    <t>Muro frontal ( 30,0 x 1,80 x 0,15) (m³) =</t>
  </si>
  <si>
    <t>Base do muro frontal (30,0 x 1,0 x 0,30) (m³) =</t>
  </si>
  <si>
    <t>Guarita (5,20 x 2,10 x 0,15) (m³) =</t>
  </si>
  <si>
    <t>Total de demolição de alvenaria de bloco furado de contrato (m³) =</t>
  </si>
  <si>
    <t>MEMORIAL DE CÁLCULO DO BM 10</t>
  </si>
  <si>
    <t>Total da área do refeitório medido até  BM 09 (m²) =</t>
  </si>
  <si>
    <t>Total da área do refeitório executado (m²) =</t>
  </si>
  <si>
    <t>Total da área do sanitário e vestiário medido até o BM 09 (m²) =</t>
  </si>
  <si>
    <t>Total da área do sanitário e vestiário executado (m²) =</t>
  </si>
  <si>
    <t>Total de demolição de alvenaria de bloco furado a executado (m³) =</t>
  </si>
  <si>
    <t>Total de demolição de alvenaria de bloco furado medido até o BM 09 (m³) =</t>
  </si>
  <si>
    <t>Total de demolição de alvenaria de bloco furado à medir (m³) =</t>
  </si>
  <si>
    <t>4.0</t>
  </si>
  <si>
    <t>INFRA-ESTRUTURA</t>
  </si>
  <si>
    <t>4.1</t>
  </si>
  <si>
    <t>4.1.1</t>
  </si>
  <si>
    <t>ESCAVAÇÃO HORIZONTAL, INCLUINDO ESCARIFICAÇÃO, CARGA, DESCARGA E TRANSPORTE EM SOLO DE 2A CATEGORIA COM TRATOR DE ESTEIRAS (150HP/LÂMINA: 3,18M3) E CAMINHÃO BASCULANTE DE 10M3, DMT ATÉ 200M</t>
  </si>
  <si>
    <t>Àrea de escavação horizontal executada (m²) =</t>
  </si>
  <si>
    <t>Altura da área escavada (m) =</t>
  </si>
  <si>
    <t>Total de volume da escavação horizontal de contrato (m³) =</t>
  </si>
  <si>
    <t>4.1.2</t>
  </si>
  <si>
    <t xml:space="preserve">ESCAVAÇÃO VERTICAL PARA  EDIFICAÇÃO, COM CARGA, DESCARGA E TRANSPORTE DE SOLO DE 1ª CATEGORIA, COM ESCAVADEIRA HIDRÁULICA (CAÇAMBA: 0,8 M³ / 111HP), FROTA DE 9 CAMINHÕES BASCULANTES DE 10 M³, DMT DE 6 KM E VELOCIDADE MÉDIA 22 KM/H. </t>
  </si>
  <si>
    <t>OBS: Em anexo o mapa de cubação juntamente com os cortes topográficos</t>
  </si>
  <si>
    <t>Volume de escavação em acordo com a área executada do levantamento topográfico (m³) =</t>
  </si>
  <si>
    <t>Total de volume da escavação vertical de contrato (m³) =</t>
  </si>
  <si>
    <t>4.1.3</t>
  </si>
  <si>
    <t>TRANSPORTE COM CAMINHÃO BASCULANTE DE 10 M³, EM VIA URBANA PAVIMENTADA, DMT ATÉ 30 KM (UNIDADE: M3XKM).</t>
  </si>
  <si>
    <t>Volume de material escavado da fundação - Volume de material de reaterro (m³) =</t>
  </si>
  <si>
    <t>Volume de material gerado da escavação subsolo para transporte com empolamento (m³) =</t>
  </si>
  <si>
    <t>Considera uma distância de 14km (km) =</t>
  </si>
  <si>
    <t>Total de transporte de material de contrato (m³/km) =</t>
  </si>
  <si>
    <t>4.1.4</t>
  </si>
  <si>
    <t>CARGA, MANOBRA E DESCARGA DE SOLOS E MATERIAIS GRANULARES EM CAMINHÃO BASCULANTE 10 M³ - CARGA COM PÁ CARREGADEIRA (CAÇAMBA DE 1,7 A 2,8 M³ / 128 HP) E DESCARGA LIVRE (UNIDADE: M3)</t>
  </si>
  <si>
    <t>Volume de material gerado da escavação do subsolo para carga, manobra e descarga (m³) =</t>
  </si>
  <si>
    <t>4.2</t>
  </si>
  <si>
    <t>4.2.1</t>
  </si>
  <si>
    <t>CORTINA DE CONTENÇÃO, BASE CIRCULAR DIÂMETRO 0.30M EM CONCRETO BOMBEÁVEL, INCLUSIVE FERRAGEM, CONCRETO, LANÇAMENTO COM BOMBA</t>
  </si>
  <si>
    <t>Comprimento da cortina (m) =</t>
  </si>
  <si>
    <t>Altura da cortina de contenção (m) =</t>
  </si>
  <si>
    <t>Quantidade de estacas executadas (und) =</t>
  </si>
  <si>
    <t>Total de cortina de contenção de contrato (m) =</t>
  </si>
  <si>
    <t>4.2.3</t>
  </si>
  <si>
    <t>Peso total de aço (Prancha 20) (kg) =</t>
  </si>
  <si>
    <t>.</t>
  </si>
  <si>
    <t>4.3</t>
  </si>
  <si>
    <t>4.3.1</t>
  </si>
  <si>
    <t>Quantidade (m)</t>
  </si>
  <si>
    <t>Estacas de fundação</t>
  </si>
  <si>
    <t>4.3.1.2</t>
  </si>
  <si>
    <t>Volume + 10%  (m³)</t>
  </si>
  <si>
    <t>Total de lançamento com uso de bomba de contrato (m³) =</t>
  </si>
  <si>
    <t>Total (m³)</t>
  </si>
  <si>
    <t xml:space="preserve">Volume de escavação de blocos + baldrames + cintas + poços de elevadores </t>
  </si>
  <si>
    <t>Volume de concreto de blocos + baldrames + cintas + poço de elevador</t>
  </si>
  <si>
    <t>Total de reaterro de valas de contrato (m³) =</t>
  </si>
  <si>
    <t>Total de reaterro de valas a aditar (m³) =</t>
  </si>
  <si>
    <t>ESTACA HÉLICE CONTÍNUA, DIÂMETRO DE 40 CM, INCLUSO CONCRETO FCK=30MPA E ARMADURA MÍNIMA (EXCLUSIVE MOBILIZAÇÃO, DESMOBILIZAÇÃO E BOMBEAMENTO). AF_12/2019</t>
  </si>
  <si>
    <t>Total (m)</t>
  </si>
  <si>
    <t>Total de estaca hélice contínua de 40cm contrato (m) =</t>
  </si>
  <si>
    <t>Quantidade (und)</t>
  </si>
  <si>
    <t>Estacas de contenção</t>
  </si>
  <si>
    <t>Total de arrasamento mecânico de estacas de contrato (und) =</t>
  </si>
  <si>
    <t>Volume (m³)</t>
  </si>
  <si>
    <t>Total de pedra argamassada de contrato (m³) =</t>
  </si>
  <si>
    <t>4.3.2</t>
  </si>
  <si>
    <t>4.3.2.2</t>
  </si>
  <si>
    <t>Blocos 1,45/0,70/0,70</t>
  </si>
  <si>
    <t>Blocos 1,80/0,80/0,70</t>
  </si>
  <si>
    <t>Blocos 0,70/0,70/0,70</t>
  </si>
  <si>
    <t>Blocos 1,90/1,64/0,80</t>
  </si>
  <si>
    <t>Blocos 1,80/1,80/1,00</t>
  </si>
  <si>
    <t>Blocos 1,80/2,53/1,20</t>
  </si>
  <si>
    <t>Blocos 2,80/1,80/1,25</t>
  </si>
  <si>
    <t>Poços de elevadores</t>
  </si>
  <si>
    <t>Total de escavação manual de blocos de contrato (m³) =</t>
  </si>
  <si>
    <t>4.3.2.3</t>
  </si>
  <si>
    <t>Total (m²)</t>
  </si>
  <si>
    <t>Área de forma de blocos de coramento</t>
  </si>
  <si>
    <t>Área de formas das vigas de coroamento (Prancha 20)</t>
  </si>
  <si>
    <t>Área de formas das vigas baldrames (Prancha 11 a 15)</t>
  </si>
  <si>
    <t>Total de fabricação de forma de blocos de contrato (m²) =</t>
  </si>
  <si>
    <t>4.3.2.4</t>
  </si>
  <si>
    <t>Vigas baldrames (V2, V3, V5, V8, V10, V11, V21, V24, V27, V28, V29, V30, V31, V33, V34, V35, V36, V37, V40, V42, V43, V46, V50)</t>
  </si>
  <si>
    <t>Vigas baldrames (V1, V26, V49, V54, V58, V60, V63)</t>
  </si>
  <si>
    <t>Vigas baldrames (V4, V14, V19, V23, V38, V51, V52)</t>
  </si>
  <si>
    <t>Vigas baldrames (V9, V15, V16, V44, V66)</t>
  </si>
  <si>
    <t>Vigas baldrames (V18)</t>
  </si>
  <si>
    <t>Vigas baldrames (V25)</t>
  </si>
  <si>
    <t>Vigas baldrames (V32, V39)</t>
  </si>
  <si>
    <t>Vigas baldrames (V41)</t>
  </si>
  <si>
    <t>Vigas baldrames (V55)</t>
  </si>
  <si>
    <t>Vigas baldrames (V57, V59, V61, V62)</t>
  </si>
  <si>
    <t>Vigas baldrames (V64, V65)</t>
  </si>
  <si>
    <t>Fundação de alvenaria em pedra argamassada</t>
  </si>
  <si>
    <t>4.3.2.6</t>
  </si>
  <si>
    <t>Total (Kg) + 10%</t>
  </si>
  <si>
    <t>Peso total de aço para viga de coroamento (Prancha 20) (kg) =</t>
  </si>
  <si>
    <t>Pilares (Prancha 5 a 7) - arranques</t>
  </si>
  <si>
    <t>PA3 , PA4, PA5 e PA6 (Prancha 19)</t>
  </si>
  <si>
    <t>Total de armação de pilar ou viga de contrato (kg) =</t>
  </si>
  <si>
    <t>Blocos (Prancha 1 a 4)</t>
  </si>
  <si>
    <t>Laje do poço dos elevadores (Pranchas 16 e 17)</t>
  </si>
  <si>
    <t>Pilares (prancha 5 a 7)</t>
  </si>
  <si>
    <t>Total de armação de bloco, viga baldrame de contrato (kg) =</t>
  </si>
  <si>
    <t>Total de armação de bloco, viga baldrame a aditar (kg) =</t>
  </si>
  <si>
    <t>Vigas Baldrames (Pranchas 11 a 15)</t>
  </si>
  <si>
    <t>4.3.2.9</t>
  </si>
  <si>
    <t>4.3.2.10</t>
  </si>
  <si>
    <t>Fundo dos elevadores</t>
  </si>
  <si>
    <t>Total de  concreto magro para lastro de contrato (m³) =</t>
  </si>
  <si>
    <t>4.3.2.11</t>
  </si>
  <si>
    <t>4.3.2.14</t>
  </si>
  <si>
    <t>4.3.2.15</t>
  </si>
  <si>
    <t>Blocos de coroamento</t>
  </si>
  <si>
    <t>Vigas baldrames nível -1,70m</t>
  </si>
  <si>
    <t>Pilares</t>
  </si>
  <si>
    <t>Laje dos elevadores</t>
  </si>
  <si>
    <t>Cinta CS1</t>
  </si>
  <si>
    <t>Total de  concretagem 35MPa de contrato (m³) =</t>
  </si>
  <si>
    <t>4.3.2.16</t>
  </si>
  <si>
    <t xml:space="preserve">ARMAÇÃO DE BLOCO, VIGA BALDRAME E SAPATA UTILIZANDO AÇO CA-50 DE 10 MM - MONTAGEM. </t>
  </si>
  <si>
    <t>Cintas (Prancha 10)</t>
  </si>
  <si>
    <t>Total de volume da escavação horizontal executado (m³) =</t>
  </si>
  <si>
    <t>Total de volume da escavação horizontal medido até o BM 09 (m³) =</t>
  </si>
  <si>
    <t>Total de volume da escavação vertical executado (m³) =</t>
  </si>
  <si>
    <t>Total de volume da escavação vertical medido até o BM 09 (m³) =</t>
  </si>
  <si>
    <t>Total de volume para transporte a executado  (m³/km) =</t>
  </si>
  <si>
    <t>Total de transporte de material de medido até o BM 09 (m³/km) =</t>
  </si>
  <si>
    <t>Total de volume para carga, manobra e descarga à executado (m³) =</t>
  </si>
  <si>
    <t>Total de carga, manobra e descarga de solo de contrato (m³) =</t>
  </si>
  <si>
    <t>Total de carga, manobra e descarga de solo de medido até o BM 09 (m³) =</t>
  </si>
  <si>
    <t>Total de aço a executado (kg) =</t>
  </si>
  <si>
    <t>Total de aço CA-25 de 6,3mm de contrato (kg) =</t>
  </si>
  <si>
    <t>Total de aço CA-25 de 6,3mm medido até o BM 09 (kg) =</t>
  </si>
  <si>
    <t>Total de aço CA-25 de 66,3mm à medir (kg) =</t>
  </si>
  <si>
    <t>Total de carga, manobra e descarga de solo à medir (m³) =</t>
  </si>
  <si>
    <t>Total da escavação vertical executado à medir (m³/km) =</t>
  </si>
  <si>
    <t>Total da escavação vertical executado à medir (m³) =</t>
  </si>
  <si>
    <t>Total da escavação horizontal à medir (m³) =</t>
  </si>
  <si>
    <t>Total de cortina de contenção a executado (m) =</t>
  </si>
  <si>
    <t>Total de cortina de contenção de medido até o BM 09 (m) =</t>
  </si>
  <si>
    <t>Total de cortina de contenção a medir (m) =</t>
  </si>
  <si>
    <t>Total de reaterro de valas executado (m³) =</t>
  </si>
  <si>
    <t>Total de estaca hélice contínua de 40cm executado (m) =</t>
  </si>
  <si>
    <t>Total de estaca hélice contínua de 40cm medido até o BM 09 (m) =</t>
  </si>
  <si>
    <t>Total de estaca hélice contínua de 40cm a medir (m) =</t>
  </si>
  <si>
    <t>Total de arrasamento mecânico de estacas executado (und) =</t>
  </si>
  <si>
    <t>Total de arrasamento mecânico de estacas medido até o BM 09 (und) =</t>
  </si>
  <si>
    <t>Total de arrasamento mecânico de estacas a medir (und) =</t>
  </si>
  <si>
    <t>ok</t>
  </si>
  <si>
    <t>Total de pedra argamassada executado (m³) =</t>
  </si>
  <si>
    <t>Total de pedra argamassada medido até o BM 09 (m³) =</t>
  </si>
  <si>
    <t>Total de pedra argamassada a medir (m³) =</t>
  </si>
  <si>
    <t>CI1</t>
  </si>
  <si>
    <t>Total de escavação manual de blocos executado (m³) =</t>
  </si>
  <si>
    <t>Total de escavação manual de blocos medido até o BM 09 (m³) =</t>
  </si>
  <si>
    <t>Total de fabricação de forma de blocos executado (m²) =</t>
  </si>
  <si>
    <t>Total de fabricação de forma de blocos medido até o BM 09 (m²) =</t>
  </si>
  <si>
    <t>Total de escavação manual de vala executado (m³) =</t>
  </si>
  <si>
    <t>Total de escavação manual de valas medido até o BM 09 (m³) =</t>
  </si>
  <si>
    <t>Total de escavação manual de blocos a medir (m³) =</t>
  </si>
  <si>
    <t>Total de fabricação de forma de blocos a medir (m²) =</t>
  </si>
  <si>
    <t>Total de lançamento com uso de bomba medido até o BM 09 (m³) =</t>
  </si>
  <si>
    <t>Total de lançamento com uso de bomba a medir (m³) =</t>
  </si>
  <si>
    <t>Total de armação de pilar ou viga executado (kg) =</t>
  </si>
  <si>
    <t>Total de armação de pilar ou viga medido até o BM 09 (kg) =</t>
  </si>
  <si>
    <t>Total de armação de pilar ou viga a medir (kg) =</t>
  </si>
  <si>
    <t>Total de armação de bloco, viga baldrame medido até o BM 09 (kg) =</t>
  </si>
  <si>
    <t>Total de armação de bloco, viga baldrame executado (kg) =</t>
  </si>
  <si>
    <t>Total de armação de bloco, viga baldrame a medir (kg) =</t>
  </si>
  <si>
    <t>Total de concreto magro para lastro executado (m³) =</t>
  </si>
  <si>
    <t>Total de concreto magro para lastro medido até o Bm 09 (m³) =</t>
  </si>
  <si>
    <t>Total de concreto magro para lastro a medir (m³) =</t>
  </si>
  <si>
    <t>Total de concretagem 35 MPa executado (m³) =</t>
  </si>
  <si>
    <t>Total de  concretagem 35MPa de contrato medido até o BM 09 (m³) =</t>
  </si>
  <si>
    <t>Total de concretagem 35 MPa a medir (m³) =</t>
  </si>
  <si>
    <t>Cintas CI1 (Prancha 10)</t>
  </si>
  <si>
    <t>Cintas CI2 (Prancha 19)</t>
  </si>
  <si>
    <t>OK</t>
  </si>
  <si>
    <t>Cinta CI2</t>
  </si>
  <si>
    <t>Cintas nível CI1 -1,70m</t>
  </si>
  <si>
    <t>Total de reaterro de valas medido até o BM 09 (m³) =</t>
  </si>
  <si>
    <t>Total de aministração de obra medido até o BM 09 (und) =</t>
  </si>
  <si>
    <t>Total de aministração de obra a medir no BM 10 (und) =</t>
  </si>
  <si>
    <t>Peso total de fornecimento e montagem de estrutura metálica de contrato (kg)=</t>
  </si>
  <si>
    <t>ARMAÇÃO DE PILAR OU VIGA DE ESTRUTURA CONVENCIONAL DE CONCRETO ARMADO UTILIZANDO AÇO CA-50 DE 5.0 MM - MONTAGEM. AF_06/2022</t>
  </si>
  <si>
    <t>Pilares PA7, 8, 9, 10, 11, 12, 13 (prancha 24)</t>
  </si>
  <si>
    <t>Pilares PA14 (prancha 33)</t>
  </si>
  <si>
    <t>Pilares PA15 (prancha 34)</t>
  </si>
  <si>
    <t>Pilares PA16 (prancha 42)</t>
  </si>
  <si>
    <t>ARMAÇÃO DE PILAR OU VIGA DE ESTRUTURA CONVENCIONAL DE CONCRETO ARMADO UTILIZANDO AÇO CA-50 DE 8,0 MM - MONTAGEM. AF_06/2022</t>
  </si>
  <si>
    <t>Total de laje treliçada de contrato (m²) =</t>
  </si>
  <si>
    <t>Total de escoramento misto (metálico e madeira) a executar (m²) =</t>
  </si>
  <si>
    <t>Total de escoramento misto (metálico e madeira) de contrato (m²) =</t>
  </si>
  <si>
    <t>Peso total de fornecimento e montagem de estrutura metálica a medir (kg)=</t>
  </si>
  <si>
    <t>Peso total de fornecimento e montagem de estrutura metálica medido até o BM 09 (kg)=</t>
  </si>
  <si>
    <t>Total de carga, maobra e descarga de solo de contrato (m³) =</t>
  </si>
  <si>
    <t xml:space="preserve">ESTACA HÉLICE CONTÍNUA, DIÂMETRO DE 40 CM, INCLUSO CONCRETO FCK=30MPA E ARMADURA MÍNIMA (EXCLUSIVE MOBILIZAÇÃO, DESMOBILIZAÇÃO E BOMBEAMENTO). </t>
  </si>
  <si>
    <t xml:space="preserve">ARRASAMENTO MECANICO DE ESTACA DE CONCRETO ARMADO, DIAMETROS DE ATÉ 40 CM. </t>
  </si>
  <si>
    <t xml:space="preserve">PEDRA ARGAMASSADA COM CIMENTO E AREIA 1:3, 40% DE ARGAMASSA EM VOLUME  - AREIA E PEDRA DE MÃO COMERCIAIS - FORNECIMENTO E ASSENTAMENTO. </t>
  </si>
  <si>
    <t>ARMAÇÃO DE PILAR OU VIGA DE ESTRUTURA CONVENCIONAL DE CONCRETO ARMADO UTILIZANDO AÇO CA-50 DE 5,0 MM - MONTAGEM. AF_06/2022</t>
  </si>
  <si>
    <t>ARMAÇÃO DE PILAR OU VIGA DE ESTRUTURA CONVENCIONAL DE CONCRETO ARMADO UTILIZANDO AÇO CA-50 DE 6,3 MM - MONTAGEM. AF_06/2022</t>
  </si>
  <si>
    <t>Total de laje de contrato (m²) =</t>
  </si>
  <si>
    <t>24.0</t>
  </si>
  <si>
    <t>24.1</t>
  </si>
  <si>
    <t>24.1.13</t>
  </si>
  <si>
    <t>ESCORAMENTO DE PAREDES EM AÇO COM TORRE DE ANDAIMES (ANEXO 1 E 2)</t>
  </si>
  <si>
    <t>Total de volume de escoramento de paredes de contrato (m³/dia) =</t>
  </si>
  <si>
    <t>24.2</t>
  </si>
  <si>
    <t>24.2.8</t>
  </si>
  <si>
    <t>Total da área de laje treliçada de contrato (m²) =</t>
  </si>
  <si>
    <t>24.2.9</t>
  </si>
  <si>
    <t>24.2.10</t>
  </si>
  <si>
    <t>RESUMO DA MEMÓRIA DE CÁLCULO DO BM 10</t>
  </si>
  <si>
    <t>Total da área do refeitório medido até o BM 09 (m²) =</t>
  </si>
  <si>
    <t>Total de demolição de alvenaria de bloco furado executado (m³) =</t>
  </si>
  <si>
    <t>Total de laje treliçada a executada (m²) =</t>
  </si>
  <si>
    <t>Total de laje treliçada medida até o BM 09 (m²) =</t>
  </si>
  <si>
    <t>Total de laje treliçada a medir (m²) =</t>
  </si>
  <si>
    <t>Laje do nível +1,30m (LT1 - Prancha 22)</t>
  </si>
  <si>
    <t>Laje do nível intermediário (LT7 - Prancha 34)</t>
  </si>
  <si>
    <t>Laje do nível +4,50m (LT5 - Prancha 31)</t>
  </si>
  <si>
    <t>Laje do nível +8,40m (LT8 - Prancha 40)</t>
  </si>
  <si>
    <t>Laje do nível +11,60m (LT9 - Prancha 46)</t>
  </si>
  <si>
    <t>Laje do nível +14,80m (LT9 - Prancha 47)</t>
  </si>
  <si>
    <t>Laje do nível +18,00m (LT9 - Prancha 48)</t>
  </si>
  <si>
    <t>Total de escoramento misto (metálico e madeira) executado (m²) =</t>
  </si>
  <si>
    <t>Total de escoramento misto (metálico e madeira) medido até o BM 09 (m²) =</t>
  </si>
  <si>
    <t>Total de escoramento misto (metálico e madeira) a medir (m²) =</t>
  </si>
  <si>
    <t>Total de  concretagem 35MPa medido até o BM 09 (m³) =</t>
  </si>
  <si>
    <t>CI10 (Nível +8,40m - Prancha 40)</t>
  </si>
  <si>
    <t>CI4 (Nível +1,30m - Pracha 22)</t>
  </si>
  <si>
    <t>CI9 (Nível intermediário - Prancha 34)</t>
  </si>
  <si>
    <t>CI7 (Nível +4,50 - Prancha 31)</t>
  </si>
  <si>
    <t>CI11(Nível +11,60m - Prancha 46)</t>
  </si>
  <si>
    <t>CI11(Nível +14,80m - Prancha 47)</t>
  </si>
  <si>
    <t>CI11(Nível +18,00m - Prancha 48)</t>
  </si>
  <si>
    <t>LT1 (Prancha 22)</t>
  </si>
  <si>
    <t>LT5 (Prancha 31)</t>
  </si>
  <si>
    <t>LT8 (Prancha 40)</t>
  </si>
  <si>
    <t>LT9 (Prancha 46)</t>
  </si>
  <si>
    <t>LT9 (Prancha 47)</t>
  </si>
  <si>
    <t>LT9 (Prancha 48)</t>
  </si>
  <si>
    <t>Total de armação de laje executado (kg) =</t>
  </si>
  <si>
    <t>Total de armação de laje CA-50 8,0mm de contrato (kg) =</t>
  </si>
  <si>
    <t>Total de laje CA-50 8,0mm a medir (kg) =</t>
  </si>
  <si>
    <t>Total de armação de laje CA-50 8,0mm medido até o BM 09 (kg) =</t>
  </si>
  <si>
    <t>Casarão (coberta)</t>
  </si>
  <si>
    <t>6.4</t>
  </si>
  <si>
    <t>Total de alvenaria de vedação de blocos cerâmicos medido até o BM 09 (m²)=</t>
  </si>
  <si>
    <t>Total de alvenaria de vedação de blocos cerâmicos a medir no BM 10 (m²)=</t>
  </si>
  <si>
    <t>Embasamento CI1</t>
  </si>
  <si>
    <t>Setor 1 (térreo)</t>
  </si>
  <si>
    <t>Setor 1 (mesanino)</t>
  </si>
  <si>
    <t>Setor 1 (pavimento tipo)</t>
  </si>
  <si>
    <t>M³/dia</t>
  </si>
  <si>
    <t>Volume de escoramento na casa 02 (m³/dia) =</t>
  </si>
  <si>
    <t>Volume de escoramento na casa 01 (m³/dia) =</t>
  </si>
  <si>
    <t>PERÍODO DA MEDIÇÃO: 01/09/2024 À 31/09/2024</t>
  </si>
  <si>
    <t>Total da volume de escoramento de paredes executado (m³/dia) =</t>
  </si>
  <si>
    <t>Total de volume de escoramento de paredes medido até o BM 09 (m³/dia) =</t>
  </si>
  <si>
    <t>Total de volume de escoramento de paredes à medir (m³/dia) =</t>
  </si>
  <si>
    <t>Quantidade de dias com escoramento (8 meses) =</t>
  </si>
  <si>
    <t>Laje do nível intermediário (LT7 - Prancha 34) - coberta do casarão</t>
  </si>
  <si>
    <t>Total de área de laje treliçada a executado (m²) =</t>
  </si>
  <si>
    <t>Total da área de laje treliçada medido até o BM 09 (m²) =</t>
  </si>
  <si>
    <t>Total da área de laje treliçada à medir (m²) =</t>
  </si>
  <si>
    <t>Laje do nível +1,30m (LT1- Prancha 22) - laje de piso do casarão</t>
  </si>
  <si>
    <t>Total de escoramento misto (metálico e madeira) a executado (m²) =</t>
  </si>
  <si>
    <t>Total de escoramento misto (metálico e madeira) a medir no BM 10 (m²) =</t>
  </si>
  <si>
    <t>Total da volume de escoramento de paredes a executado (m³/dia) =</t>
  </si>
  <si>
    <t>Total de volume de escoramento de paredes à medir no BM 10 (m³/dia) =</t>
  </si>
  <si>
    <t>Total de área de laje treliçada executado (m²) =</t>
  </si>
  <si>
    <t>Total da área de laje treliçada à medir no B 10 (m²) =</t>
  </si>
  <si>
    <t>Total de concretagem 35 MPa a medir no BM 10 (m³) =</t>
  </si>
  <si>
    <t>Total da área do sanitário e vestiário a medir no BM 10 (m²) =</t>
  </si>
  <si>
    <t>Total da área do refeitório à medir no BM 10 (m²) =</t>
  </si>
  <si>
    <t>Total de demolição de alvenaria de bloco furado à medir no BM 10 (m³) =</t>
  </si>
  <si>
    <t>Total da escavação horizontal à medir no BM 10 (m³) =</t>
  </si>
  <si>
    <t>Total da escavação vertical executado à medir no BM 10 (m³) =</t>
  </si>
  <si>
    <t>Total da escavação vertical executado à medido até o BM 09 (m³) =</t>
  </si>
  <si>
    <t>Total de transporte de material medido até o BM 09 (m³/km) =</t>
  </si>
  <si>
    <t>Total da escavação vertical executado à medir no BM 10 (m³/km) =</t>
  </si>
  <si>
    <t>Total de carga, maobra e descarga de solo à medir no BM 10 (m³) =</t>
  </si>
  <si>
    <t>Total de cortina de contenção a medir no BM 10 (m) =</t>
  </si>
  <si>
    <t>Total de volume para carga, manobra e descarga executado (m³) =</t>
  </si>
  <si>
    <t>Total de volume para transporte executado  (m³/km) =</t>
  </si>
  <si>
    <t>Total de cortina de contenção executado (m) =</t>
  </si>
  <si>
    <t>Total de cortina de contenção medido até o BM 09 (m) =</t>
  </si>
  <si>
    <t>Total de carga, maobra e descarga de solo medido até o BM 09 (m³) =</t>
  </si>
  <si>
    <t>Total de aço CA-25 de 6,3mm à medir no BM 10 (kg) =</t>
  </si>
  <si>
    <t>Total de aço CA-25 de 6,3mm executado (kg) =</t>
  </si>
  <si>
    <t>Total de lançamento com uso de bomba a medir no BM 10 (m³) =</t>
  </si>
  <si>
    <t>Total de lançamento com uso de bomba executado (m³) =</t>
  </si>
  <si>
    <t>Total de reaterro de valas a medir no BM 10 (m³) =</t>
  </si>
  <si>
    <t>Total de estaca hélice contínua de 40cm a medir no BM 10 (m) =</t>
  </si>
  <si>
    <t>Total de estaca hélice contínua de 40cm medido no BM 09 (m) =</t>
  </si>
  <si>
    <t>Total de arrasamento mecânico de estacas a medir no BM 10 (und) =</t>
  </si>
  <si>
    <t>Total de pedra argamassada a medir no BM 10 (m³) =</t>
  </si>
  <si>
    <t>Total de escavação manual de blocos a medir no BM 10 (m³) =</t>
  </si>
  <si>
    <t>Total de fabricação de forma de blocos a medir no BM 10 (m²) =</t>
  </si>
  <si>
    <t>Total de escavação manual de blocos medido no BM 09 (m³) =</t>
  </si>
  <si>
    <t>Total de armação de pilar ou viga aço CA-50 de 10mm executado (kg) =</t>
  </si>
  <si>
    <t>Total de armação de pilar ou viga a medir no BM 10 (kg) =</t>
  </si>
  <si>
    <t>Total de armação de bloco, viga baldrame de aço CA-50 de 6,3mm executado (kg) =</t>
  </si>
  <si>
    <t>Total de armação de bloco, viga baldrame a medir no BM 10 (kg) =</t>
  </si>
  <si>
    <t>Total de concreto magro para lastro medido até o BM 09 (m³) =</t>
  </si>
  <si>
    <t>Total de concreto magro para lastro a medir no BM 10 (m³) =</t>
  </si>
  <si>
    <t>Total de armação de bloco, viga baldrame de aço CA-50 de 20mm executado (kg) =</t>
  </si>
  <si>
    <t>Total de armação de bloco, viga baldrame aço CA-60 de 5mm executado (kg) =</t>
  </si>
  <si>
    <t>Total de armação de bloco, viga baldrame a medido até o BM 09 (kg) =</t>
  </si>
  <si>
    <t>Total de concretagem 35 MPa medido até o BM 09 (m³) =</t>
  </si>
  <si>
    <t>Total de armação de bloco, viga baldrame aço CA-50 de 10mm executado (kg) =</t>
  </si>
  <si>
    <t>Peso total de fornecimento e montagem de estrutura metálica a medir no BM 10 (kg)=</t>
  </si>
  <si>
    <t>Peso total de fornecimento e montagem de estrutura metálica a executado (kg)=</t>
  </si>
  <si>
    <t>Total de armação de pilar ou viga aço CA-50 de 5,0mm executado (kg) =</t>
  </si>
  <si>
    <t>Total de área de alvenaria de vedação 9x9x39cm executado (m²) =</t>
  </si>
  <si>
    <t>Total de área de alvenaria de vedação 9x9x39cm de contrato (m²) =</t>
  </si>
  <si>
    <t>Total de área de alvenaria de vedação 9x9x39cm medido até o BM 09 (m²) =</t>
  </si>
  <si>
    <t>Total de área de alvenaria de vedação 9x9x39cm à medir no BM 10 (m²) =</t>
  </si>
  <si>
    <t>Total de área de alvenaria de vedação 14x9x19cm executado (m²) =</t>
  </si>
  <si>
    <t>Total de área de alvenaria de vedação 14x9x19cm de contrato (m²) =</t>
  </si>
  <si>
    <t>Total de área de alvenaria de vedação 14x9x19cm medido até o BM 09 (m²) =</t>
  </si>
  <si>
    <t>Total de área de alvenaria de vedação 14x9x19cm à medir no BM 10 (m²) =</t>
  </si>
  <si>
    <t>Laje do nível +21,20m (LT10 - Prancha 54)</t>
  </si>
  <si>
    <t>Total de laje treliçada com treliças executado (m²) =</t>
  </si>
  <si>
    <t>Total de laje treliçada medida até o BM 10 (m²) =</t>
  </si>
  <si>
    <t>Total de armação de laje aço CA-50 de 8,0mm executado (kg) =</t>
  </si>
  <si>
    <t>Total de armação de laje CA-50 8,0mm medido até o BM 09(kg) =</t>
  </si>
  <si>
    <t>Total de armação de laje CA-50 a medir no BM 10 (kg) =</t>
  </si>
  <si>
    <t>Total de concretagem 35 MPa executado(m³) =</t>
  </si>
  <si>
    <t>CS1 - nível 0,0 (Prancha 19)</t>
  </si>
  <si>
    <t>CI2 - nível 0,0 (Prancha 19)</t>
  </si>
  <si>
    <t>CS4 - nível +5,70 (Prancha 34)</t>
  </si>
  <si>
    <t>CI9 - nível intermediário (Prancha 34)</t>
  </si>
  <si>
    <t>CI7 - nível 4,50 (Prancha 31)</t>
  </si>
  <si>
    <t>CI10 - nível 8,40 (Prancha 40)</t>
  </si>
  <si>
    <t>CI11 - nível +11,60 (Prancha 46)</t>
  </si>
  <si>
    <t>CS3 (Prancha 31)</t>
  </si>
  <si>
    <t>CS2 (Prancha 22)</t>
  </si>
  <si>
    <t>CS6 (Prancha 46)</t>
  </si>
  <si>
    <t>CI12- nível 21,20 (Prancha 54)</t>
  </si>
  <si>
    <t>CI3 - nível +1,30 (Pranch 22)</t>
  </si>
  <si>
    <t>CI5 - nível +1,30 (Prancha 22)</t>
  </si>
  <si>
    <t>CI3 - nível +1,30 (Prancha 22)</t>
  </si>
  <si>
    <t>CI4 - nível +1,30 (Prancha 22)</t>
  </si>
  <si>
    <t>CI8 - (Prancha 33)</t>
  </si>
  <si>
    <t>CS5 - nível +1,30 (Prancha 22)</t>
  </si>
  <si>
    <t>Cintas CS1 (Prancha 19)</t>
  </si>
  <si>
    <t>Foi considerado o peso total da estrutura do Projeto Estrutural executado (kg) =</t>
  </si>
  <si>
    <t>Total de armação de pilar ou viga medido no BM 10 (kg) =</t>
  </si>
  <si>
    <t>Total de armação de pilar ou viga CA-50 6,3mm medido até o BM 09 (kg) =</t>
  </si>
  <si>
    <t>Total de armação de pilar ou viga CA-50 6,3mm de contrato (kg) =</t>
  </si>
  <si>
    <t>Total de armação de pilar ou viga CA-50 6,3mm a medir (kg) =</t>
  </si>
  <si>
    <t>Total de armação de pilar ou viga aço CA-50 6,3mm executado (kg) =</t>
  </si>
  <si>
    <t>Total (Kg)</t>
  </si>
  <si>
    <t>Total de armação de pilar ou viga CA-50 10,0mm executado (kg) =</t>
  </si>
  <si>
    <t>Total de armação de pilar ou viga CA-50 10mm de contrato (kg) =</t>
  </si>
  <si>
    <t>Total de armação de pilar ou viga CA-50 10mm medido até o BM 09 (kg) =</t>
  </si>
  <si>
    <t>Total de armação de pilar ou viga aço CA-50 10,0mm executado (kg) =</t>
  </si>
  <si>
    <t>Total de armação de pilar ou viga CA-50 8,0mm medido até o BM 09 (kg) =</t>
  </si>
  <si>
    <t>Total de armação de pilar ou viga CA-50 8,0mm de contrato (kg) =</t>
  </si>
  <si>
    <t>Total de armação de pilar ou viga CA-50 a medir no BM 10 (kg) =</t>
  </si>
  <si>
    <t>Total de armação de pilar ou viga aço CA-50 de 8,0mm executado (kg) =</t>
  </si>
  <si>
    <t>Total de armação de pilar ou viga CA-50 10,0mm medido até o BM 09 (kg) =</t>
  </si>
  <si>
    <t>Total de armação de pilar ou viga CA-50 10,0mm a medir no BM 10 (kg) =</t>
  </si>
  <si>
    <t>Total de armação de pilar ou viga CA-50 10,0mm de contrato (kg) =</t>
  </si>
  <si>
    <t>Total de armação de pilar ou viga CA-50 8,0mm a medir no BM 10 (kg) =</t>
  </si>
  <si>
    <t>4.3.1.1</t>
  </si>
  <si>
    <t>Total + 10% (m)</t>
  </si>
  <si>
    <t>Total de estaca hélice contínua de 30cm de contrato (m) =</t>
  </si>
  <si>
    <t>Total de estaca hélice contínua de 30cm a executado (m) =</t>
  </si>
  <si>
    <t>Total de estaca hélice contínua de 30cm medido até o BM 09 (m) =</t>
  </si>
  <si>
    <t>Total de estaca hélice contínua de 30cm a medir no BM 10 (m) =</t>
  </si>
  <si>
    <t>B  V</t>
  </si>
  <si>
    <t>Total de armação de pilar ou viga CA-50 6,3mm a medir no BM 10 (kg)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</si>
</sst>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R$&quot;\ * #,##0.00_-;\-&quot;R$&quot;\ * #,##0.00_-;_-&quot;R$&quot;\ * &quot;-&quot;??_-;_-@_-"/>
    <numFmt numFmtId="43" formatCode="_-* #,##0.00_-;\-* #,##0.00_-;_-* &quot;-&quot;??_-;_-@_-"/>
    <numFmt numFmtId="164" formatCode="#,##0.00_ ;\-#,##0.00\ "/>
  </numFmts>
  <fonts count="20" x14ac:knownFonts="1">
    <font>
      <sz val="11"/>
      <name val="Arial"/>
      <family val="1"/>
    </font>
    <font>
      <sz val="11"/>
      <color theme="1"/>
      <name val="Calibri"/>
      <family val="2"/>
      <scheme val="minor"/>
    </font>
    <font>
      <sz val="11"/>
      <name val="Arial"/>
      <family val="2"/>
    </font>
    <font>
      <b/>
      <sz val="11"/>
      <name val="Arial"/>
      <family val="2"/>
    </font>
    <font>
      <b/>
      <sz val="10"/>
      <name val="Arial"/>
      <family val="2"/>
    </font>
    <font>
      <sz val="12"/>
      <color indexed="8"/>
      <name val="Arial"/>
      <family val="2"/>
    </font>
    <font>
      <sz val="12"/>
      <name val="Arial"/>
      <family val="2"/>
    </font>
    <font>
      <sz val="10"/>
      <name val="Arial"/>
      <family val="2"/>
    </font>
    <font>
      <b/>
      <sz val="12"/>
      <name val="Arial"/>
      <family val="2"/>
    </font>
    <font>
      <b/>
      <sz val="20"/>
      <name val="Arial Narrow"/>
      <family val="2"/>
    </font>
    <font>
      <b/>
      <sz val="18"/>
      <name val="Arial"/>
      <family val="2"/>
    </font>
    <font>
      <b/>
      <sz val="10"/>
      <color rgb="FF000000"/>
      <name val="Arial"/>
      <family val="2"/>
    </font>
    <font>
      <b/>
      <sz val="10"/>
      <color rgb="FFFF0000"/>
      <name val="Arial"/>
      <family val="2"/>
    </font>
    <font>
      <sz val="10"/>
      <color rgb="FF000000"/>
      <name val="Arial"/>
      <family val="2"/>
    </font>
    <font>
      <sz val="10"/>
      <color rgb="FF000000"/>
      <name val="Times New Roman"/>
      <family val="1"/>
    </font>
    <font>
      <b/>
      <sz val="10"/>
      <color theme="1"/>
      <name val="Arial"/>
      <family val="2"/>
    </font>
    <font>
      <b/>
      <sz val="14"/>
      <name val="Arial"/>
      <family val="2"/>
    </font>
    <font>
      <b/>
      <sz val="8"/>
      <name val="Arial"/>
      <family val="2"/>
    </font>
    <font>
      <sz val="8"/>
      <name val="Arial"/>
      <family val="1"/>
    </font>
    <font>
      <sz val="8"/>
      <color rgb="FFFF0000"/>
      <name val="Arial"/>
      <family val="2"/>
    </font>
  </fonts>
  <fills count="11">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rgb="FFFFFFFF"/>
      </patternFill>
    </fill>
    <fill>
      <patternFill patternType="solid">
        <fgColor rgb="FFD8ECF6"/>
      </patternFill>
    </fill>
    <fill>
      <patternFill patternType="solid">
        <fgColor theme="0" tint="-0.14999847407452621"/>
        <bgColor indexed="64"/>
      </patternFill>
    </fill>
    <fill>
      <patternFill patternType="solid">
        <fgColor theme="2"/>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0" tint="-0.249977111117893"/>
        <bgColor indexed="64"/>
      </patternFill>
    </fill>
  </fills>
  <borders count="45">
    <border>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CCCCCC"/>
      </left>
      <right style="thin">
        <color rgb="FFCCCCCC"/>
      </right>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top/>
      <bottom style="hair">
        <color indexed="64"/>
      </bottom>
      <diagonal/>
    </border>
    <border>
      <left/>
      <right style="thin">
        <color indexed="64"/>
      </right>
      <top style="hair">
        <color indexed="64"/>
      </top>
      <bottom/>
      <diagonal/>
    </border>
    <border>
      <left/>
      <right/>
      <top/>
      <bottom style="medium">
        <color indexed="64"/>
      </bottom>
      <diagonal/>
    </border>
    <border>
      <left/>
      <right style="thin">
        <color indexed="64"/>
      </right>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s>
  <cellStyleXfs count="4">
    <xf numFmtId="0" fontId="0" fillId="0" borderId="0"/>
    <xf numFmtId="0" fontId="14" fillId="0" borderId="0"/>
    <xf numFmtId="0" fontId="1" fillId="0" borderId="0"/>
    <xf numFmtId="43" fontId="1" fillId="0" borderId="0" applyFont="0" applyFill="0" applyBorder="0" applyAlignment="0" applyProtection="0"/>
  </cellStyleXfs>
  <cellXfs count="272">
    <xf numFmtId="0" fontId="0" fillId="0" borderId="0" xfId="0"/>
    <xf numFmtId="0" fontId="3" fillId="0" borderId="0" xfId="0" applyFont="1" applyAlignment="1">
      <alignment horizontal="left" vertical="center" wrapText="1"/>
    </xf>
    <xf numFmtId="0" fontId="2" fillId="0" borderId="0" xfId="0" applyFont="1" applyAlignment="1">
      <alignment vertical="center"/>
    </xf>
    <xf numFmtId="0" fontId="4" fillId="0" borderId="0" xfId="0" applyFont="1" applyAlignment="1">
      <alignment horizontal="left" vertical="top" wrapText="1"/>
    </xf>
    <xf numFmtId="0" fontId="2" fillId="0" borderId="0" xfId="0" applyFont="1"/>
    <xf numFmtId="0" fontId="3" fillId="0" borderId="0" xfId="0" applyFont="1" applyAlignment="1">
      <alignment horizontal="center" vertical="center" wrapText="1"/>
    </xf>
    <xf numFmtId="0" fontId="3" fillId="4" borderId="11" xfId="0" applyFont="1" applyFill="1" applyBorder="1" applyAlignment="1">
      <alignment horizontal="center" vertical="center" wrapText="1"/>
    </xf>
    <xf numFmtId="0" fontId="11" fillId="5" borderId="12" xfId="0" applyFont="1" applyFill="1" applyBorder="1" applyAlignment="1">
      <alignment horizontal="left" vertical="center" wrapText="1"/>
    </xf>
    <xf numFmtId="0" fontId="11" fillId="5" borderId="12" xfId="0" applyFont="1" applyFill="1" applyBorder="1" applyAlignment="1">
      <alignment horizontal="right" vertical="center" wrapText="1"/>
    </xf>
    <xf numFmtId="43" fontId="11" fillId="5" borderId="12" xfId="0" applyNumberFormat="1" applyFont="1" applyFill="1" applyBorder="1" applyAlignment="1">
      <alignment horizontal="left" vertical="center" wrapText="1"/>
    </xf>
    <xf numFmtId="43" fontId="11" fillId="5" borderId="12" xfId="0" applyNumberFormat="1" applyFont="1" applyFill="1" applyBorder="1" applyAlignment="1">
      <alignment horizontal="right" vertical="center" wrapText="1"/>
    </xf>
    <xf numFmtId="0" fontId="13" fillId="0" borderId="13" xfId="0" applyFont="1" applyBorder="1" applyAlignment="1">
      <alignment horizontal="left" vertical="center" wrapText="1"/>
    </xf>
    <xf numFmtId="0" fontId="13" fillId="0" borderId="13" xfId="0" applyFont="1" applyBorder="1" applyAlignment="1">
      <alignment horizontal="center" vertical="center" wrapText="1"/>
    </xf>
    <xf numFmtId="43" fontId="13" fillId="0" borderId="13" xfId="0" applyNumberFormat="1" applyFont="1" applyBorder="1" applyAlignment="1">
      <alignment horizontal="right" vertical="center" wrapText="1"/>
    </xf>
    <xf numFmtId="4" fontId="13" fillId="0" borderId="13" xfId="0" applyNumberFormat="1" applyFont="1" applyBorder="1" applyAlignment="1">
      <alignment horizontal="right" vertical="center" wrapText="1"/>
    </xf>
    <xf numFmtId="44" fontId="13" fillId="0" borderId="13" xfId="0" applyNumberFormat="1" applyFont="1" applyBorder="1" applyAlignment="1">
      <alignment horizontal="right" vertical="center" wrapText="1"/>
    </xf>
    <xf numFmtId="0" fontId="11" fillId="5" borderId="13" xfId="0" applyFont="1" applyFill="1" applyBorder="1" applyAlignment="1">
      <alignment horizontal="left" vertical="center" wrapText="1"/>
    </xf>
    <xf numFmtId="0" fontId="11" fillId="5" borderId="13" xfId="0" applyFont="1" applyFill="1" applyBorder="1" applyAlignment="1">
      <alignment horizontal="right" vertical="center" wrapText="1"/>
    </xf>
    <xf numFmtId="4" fontId="11" fillId="5" borderId="13" xfId="0" applyNumberFormat="1" applyFont="1" applyFill="1" applyBorder="1" applyAlignment="1">
      <alignment horizontal="right" vertical="center" wrapText="1"/>
    </xf>
    <xf numFmtId="43" fontId="11" fillId="5" borderId="13" xfId="0" applyNumberFormat="1" applyFont="1" applyFill="1" applyBorder="1" applyAlignment="1">
      <alignment horizontal="left" vertical="center" wrapText="1"/>
    </xf>
    <xf numFmtId="43" fontId="11" fillId="5" borderId="13" xfId="0" applyNumberFormat="1" applyFont="1" applyFill="1" applyBorder="1" applyAlignment="1">
      <alignment horizontal="right" vertical="center" wrapText="1"/>
    </xf>
    <xf numFmtId="0" fontId="13" fillId="0" borderId="14" xfId="0" applyFont="1" applyBorder="1" applyAlignment="1">
      <alignment horizontal="left" vertical="center" wrapText="1"/>
    </xf>
    <xf numFmtId="0" fontId="13" fillId="0" borderId="14" xfId="0" applyFont="1" applyBorder="1" applyAlignment="1">
      <alignment horizontal="center" vertical="center" wrapText="1"/>
    </xf>
    <xf numFmtId="43" fontId="13" fillId="0" borderId="14" xfId="0" applyNumberFormat="1" applyFont="1" applyBorder="1" applyAlignment="1">
      <alignment horizontal="right" vertical="center" wrapText="1"/>
    </xf>
    <xf numFmtId="43" fontId="4" fillId="4" borderId="11" xfId="0" applyNumberFormat="1"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0" xfId="0" applyFont="1" applyFill="1" applyAlignment="1">
      <alignment horizontal="right" vertical="center" wrapText="1"/>
    </xf>
    <xf numFmtId="0" fontId="7" fillId="4" borderId="0" xfId="0" applyFont="1" applyFill="1" applyAlignment="1">
      <alignment horizontal="left" vertical="center" wrapText="1"/>
    </xf>
    <xf numFmtId="0" fontId="4" fillId="4" borderId="0" xfId="0" applyFont="1" applyFill="1" applyAlignment="1">
      <alignment horizontal="left" vertical="center" wrapText="1"/>
    </xf>
    <xf numFmtId="0" fontId="2" fillId="0" borderId="0" xfId="0" applyFont="1" applyAlignment="1">
      <alignment horizontal="right" vertical="center"/>
    </xf>
    <xf numFmtId="0" fontId="13" fillId="0" borderId="15" xfId="1" applyFont="1" applyBorder="1" applyAlignment="1">
      <alignment horizontal="center" vertical="top"/>
    </xf>
    <xf numFmtId="0" fontId="13" fillId="0" borderId="16" xfId="1" applyFont="1" applyBorder="1" applyAlignment="1">
      <alignment horizontal="center" vertical="top"/>
    </xf>
    <xf numFmtId="0" fontId="13" fillId="0" borderId="17" xfId="1" applyFont="1" applyBorder="1" applyAlignment="1">
      <alignment horizontal="left" vertical="top"/>
    </xf>
    <xf numFmtId="0" fontId="14" fillId="0" borderId="0" xfId="1" applyAlignment="1">
      <alignment horizontal="left" vertical="top"/>
    </xf>
    <xf numFmtId="0" fontId="13" fillId="0" borderId="18" xfId="1" applyFont="1" applyBorder="1" applyAlignment="1">
      <alignment horizontal="center" vertical="top"/>
    </xf>
    <xf numFmtId="0" fontId="13" fillId="0" borderId="0" xfId="1" applyFont="1" applyAlignment="1">
      <alignment horizontal="center" vertical="top"/>
    </xf>
    <xf numFmtId="0" fontId="13" fillId="0" borderId="19" xfId="1" applyFont="1" applyBorder="1" applyAlignment="1">
      <alignment horizontal="left" vertical="top"/>
    </xf>
    <xf numFmtId="0" fontId="15" fillId="0" borderId="18" xfId="1" applyFont="1" applyBorder="1" applyAlignment="1">
      <alignment vertical="center"/>
    </xf>
    <xf numFmtId="0" fontId="15" fillId="0" borderId="0" xfId="1" applyFont="1" applyAlignment="1">
      <alignment vertical="center"/>
    </xf>
    <xf numFmtId="4" fontId="13" fillId="0" borderId="0" xfId="1" applyNumberFormat="1" applyFont="1" applyAlignment="1">
      <alignment horizontal="center" vertical="center"/>
    </xf>
    <xf numFmtId="0" fontId="13" fillId="0" borderId="19" xfId="1" applyFont="1" applyBorder="1" applyAlignment="1">
      <alignment horizontal="left" vertical="center"/>
    </xf>
    <xf numFmtId="0" fontId="13" fillId="0" borderId="18" xfId="1" applyFont="1" applyBorder="1" applyAlignment="1">
      <alignment horizontal="left" vertical="top"/>
    </xf>
    <xf numFmtId="0" fontId="13" fillId="0" borderId="0" xfId="1" applyFont="1" applyAlignment="1">
      <alignment horizontal="left" vertical="top"/>
    </xf>
    <xf numFmtId="0" fontId="14" fillId="0" borderId="0" xfId="1" applyAlignment="1">
      <alignment horizontal="left" vertical="center"/>
    </xf>
    <xf numFmtId="0" fontId="11" fillId="7" borderId="11" xfId="1" applyFont="1" applyFill="1" applyBorder="1" applyAlignment="1">
      <alignment horizontal="center" vertical="center"/>
    </xf>
    <xf numFmtId="1" fontId="11" fillId="8" borderId="11" xfId="1" applyNumberFormat="1" applyFont="1" applyFill="1" applyBorder="1" applyAlignment="1">
      <alignment horizontal="center" vertical="center" shrinkToFit="1"/>
    </xf>
    <xf numFmtId="0" fontId="13" fillId="0" borderId="24" xfId="1" applyFont="1" applyBorder="1" applyAlignment="1">
      <alignment horizontal="right" vertical="top"/>
    </xf>
    <xf numFmtId="0" fontId="13" fillId="0" borderId="25" xfId="1" applyFont="1" applyBorder="1" applyAlignment="1">
      <alignment horizontal="right" vertical="top"/>
    </xf>
    <xf numFmtId="0" fontId="13" fillId="0" borderId="25" xfId="1" applyFont="1" applyBorder="1" applyAlignment="1">
      <alignment horizontal="center" vertical="top"/>
    </xf>
    <xf numFmtId="0" fontId="13" fillId="0" borderId="26" xfId="1" applyFont="1" applyBorder="1" applyAlignment="1">
      <alignment horizontal="center" vertical="top"/>
    </xf>
    <xf numFmtId="0" fontId="14" fillId="0" borderId="0" xfId="1" applyAlignment="1">
      <alignment horizontal="center" vertical="top"/>
    </xf>
    <xf numFmtId="0" fontId="13" fillId="0" borderId="1" xfId="1" applyFont="1" applyBorder="1" applyAlignment="1">
      <alignment horizontal="center" vertical="top"/>
    </xf>
    <xf numFmtId="0" fontId="13" fillId="0" borderId="2" xfId="1" applyFont="1" applyBorder="1" applyAlignment="1">
      <alignment horizontal="center" vertical="top"/>
    </xf>
    <xf numFmtId="2" fontId="13" fillId="0" borderId="5" xfId="1" applyNumberFormat="1" applyFont="1" applyBorder="1" applyAlignment="1">
      <alignment vertical="top"/>
    </xf>
    <xf numFmtId="2" fontId="13" fillId="0" borderId="6" xfId="1" applyNumberFormat="1" applyFont="1" applyBorder="1" applyAlignment="1">
      <alignment horizontal="right" vertical="center"/>
    </xf>
    <xf numFmtId="2" fontId="13" fillId="0" borderId="0" xfId="1" applyNumberFormat="1" applyFont="1" applyAlignment="1">
      <alignment horizontal="center" vertical="top"/>
    </xf>
    <xf numFmtId="0" fontId="13" fillId="0" borderId="3" xfId="1" applyFont="1" applyBorder="1" applyAlignment="1">
      <alignment horizontal="center" vertical="top"/>
    </xf>
    <xf numFmtId="2" fontId="13" fillId="0" borderId="6" xfId="1" applyNumberFormat="1" applyFont="1" applyBorder="1" applyAlignment="1">
      <alignment horizontal="right" vertical="top"/>
    </xf>
    <xf numFmtId="0" fontId="13" fillId="0" borderId="23" xfId="1" applyFont="1" applyBorder="1" applyAlignment="1">
      <alignment horizontal="center" vertical="top"/>
    </xf>
    <xf numFmtId="0" fontId="13" fillId="0" borderId="23" xfId="1" applyFont="1" applyBorder="1" applyAlignment="1">
      <alignment horizontal="right" vertical="top"/>
    </xf>
    <xf numFmtId="0" fontId="17" fillId="4" borderId="11" xfId="0" applyFont="1" applyFill="1" applyBorder="1" applyAlignment="1">
      <alignment horizontal="center" vertical="center" wrapText="1"/>
    </xf>
    <xf numFmtId="10" fontId="12" fillId="5" borderId="12" xfId="0" applyNumberFormat="1" applyFont="1" applyFill="1" applyBorder="1" applyAlignment="1">
      <alignment horizontal="right" vertical="center" wrapText="1"/>
    </xf>
    <xf numFmtId="10" fontId="11" fillId="5" borderId="12" xfId="0" applyNumberFormat="1" applyFont="1" applyFill="1" applyBorder="1" applyAlignment="1">
      <alignment horizontal="right" vertical="center" wrapText="1"/>
    </xf>
    <xf numFmtId="0" fontId="13" fillId="0" borderId="5" xfId="1" applyFont="1" applyBorder="1" applyAlignment="1">
      <alignment vertical="top"/>
    </xf>
    <xf numFmtId="0" fontId="13" fillId="0" borderId="8" xfId="1" applyFont="1" applyBorder="1" applyAlignment="1">
      <alignment horizontal="center" vertical="top"/>
    </xf>
    <xf numFmtId="2" fontId="13" fillId="0" borderId="23" xfId="1" applyNumberFormat="1" applyFont="1" applyBorder="1" applyAlignment="1">
      <alignment horizontal="right" vertical="top"/>
    </xf>
    <xf numFmtId="0" fontId="13" fillId="0" borderId="33" xfId="1" applyFont="1" applyBorder="1" applyAlignment="1">
      <alignment horizontal="left" vertical="top"/>
    </xf>
    <xf numFmtId="0" fontId="14" fillId="0" borderId="0" xfId="1" applyAlignment="1">
      <alignment horizontal="center" vertical="center"/>
    </xf>
    <xf numFmtId="2" fontId="13" fillId="0" borderId="5" xfId="1" applyNumberFormat="1" applyFont="1" applyBorder="1" applyAlignment="1">
      <alignment horizontal="right" vertical="center"/>
    </xf>
    <xf numFmtId="2" fontId="4" fillId="0" borderId="5" xfId="1" applyNumberFormat="1" applyFont="1" applyBorder="1" applyAlignment="1">
      <alignment vertical="center"/>
    </xf>
    <xf numFmtId="2" fontId="13" fillId="0" borderId="23" xfId="1" applyNumberFormat="1" applyFont="1" applyBorder="1" applyAlignment="1">
      <alignment horizontal="center" vertical="top"/>
    </xf>
    <xf numFmtId="0" fontId="13" fillId="0" borderId="4" xfId="1" applyFont="1" applyBorder="1" applyAlignment="1">
      <alignment horizontal="right" vertical="top"/>
    </xf>
    <xf numFmtId="0" fontId="13" fillId="0" borderId="5" xfId="1" applyFont="1" applyBorder="1" applyAlignment="1">
      <alignment horizontal="center" vertical="top"/>
    </xf>
    <xf numFmtId="0" fontId="7" fillId="0" borderId="13" xfId="0" applyFont="1" applyBorder="1" applyAlignment="1">
      <alignment horizontal="left" vertical="center" wrapText="1"/>
    </xf>
    <xf numFmtId="0" fontId="7" fillId="0" borderId="13" xfId="0" applyFont="1" applyBorder="1" applyAlignment="1">
      <alignment horizontal="center" vertical="center" wrapText="1"/>
    </xf>
    <xf numFmtId="43" fontId="7" fillId="0" borderId="13" xfId="0" applyNumberFormat="1" applyFont="1" applyBorder="1" applyAlignment="1">
      <alignment horizontal="right" vertical="center" wrapText="1"/>
    </xf>
    <xf numFmtId="0" fontId="13" fillId="0" borderId="0" xfId="1" applyFont="1" applyAlignment="1">
      <alignment horizontal="left" vertical="center"/>
    </xf>
    <xf numFmtId="0" fontId="13" fillId="0" borderId="35" xfId="1" applyFont="1" applyBorder="1" applyAlignment="1">
      <alignment horizontal="left" vertical="top"/>
    </xf>
    <xf numFmtId="1" fontId="11" fillId="9" borderId="11" xfId="1" applyNumberFormat="1" applyFont="1" applyFill="1" applyBorder="1" applyAlignment="1">
      <alignment horizontal="center" vertical="center" shrinkToFit="1"/>
    </xf>
    <xf numFmtId="2" fontId="13" fillId="0" borderId="3" xfId="1" applyNumberFormat="1" applyFont="1" applyBorder="1" applyAlignment="1">
      <alignment vertical="top" wrapText="1"/>
    </xf>
    <xf numFmtId="0" fontId="11" fillId="0" borderId="4" xfId="1" applyFont="1" applyBorder="1" applyAlignment="1">
      <alignment horizontal="right" vertical="top"/>
    </xf>
    <xf numFmtId="0" fontId="13" fillId="0" borderId="18" xfId="1" applyFont="1" applyBorder="1" applyAlignment="1">
      <alignment horizontal="right" vertical="top"/>
    </xf>
    <xf numFmtId="0" fontId="13" fillId="0" borderId="0" xfId="1" applyFont="1" applyAlignment="1">
      <alignment horizontal="right" vertical="top"/>
    </xf>
    <xf numFmtId="0" fontId="13" fillId="0" borderId="19" xfId="1" applyFont="1" applyBorder="1" applyAlignment="1">
      <alignment horizontal="center" vertical="top"/>
    </xf>
    <xf numFmtId="2" fontId="13" fillId="0" borderId="6" xfId="1" applyNumberFormat="1" applyFont="1" applyBorder="1" applyAlignment="1">
      <alignment vertical="top"/>
    </xf>
    <xf numFmtId="0" fontId="13" fillId="0" borderId="5" xfId="1" applyFont="1" applyBorder="1" applyAlignment="1">
      <alignment horizontal="right" vertical="top"/>
    </xf>
    <xf numFmtId="2" fontId="4" fillId="0" borderId="6" xfId="1" applyNumberFormat="1" applyFont="1" applyBorder="1" applyAlignment="1">
      <alignment vertical="top"/>
    </xf>
    <xf numFmtId="2" fontId="13" fillId="0" borderId="17" xfId="1" applyNumberFormat="1" applyFont="1" applyBorder="1" applyAlignment="1">
      <alignment vertical="top" wrapText="1"/>
    </xf>
    <xf numFmtId="2" fontId="13" fillId="0" borderId="6" xfId="1" applyNumberFormat="1" applyFont="1" applyBorder="1" applyAlignment="1">
      <alignment vertical="top" wrapText="1"/>
    </xf>
    <xf numFmtId="2" fontId="13" fillId="0" borderId="36" xfId="1" applyNumberFormat="1" applyFont="1" applyBorder="1" applyAlignment="1">
      <alignment vertical="top" wrapText="1"/>
    </xf>
    <xf numFmtId="0" fontId="11" fillId="0" borderId="5" xfId="1" applyFont="1" applyBorder="1" applyAlignment="1">
      <alignment horizontal="right" vertical="top"/>
    </xf>
    <xf numFmtId="43" fontId="13" fillId="0" borderId="38" xfId="1" applyNumberFormat="1" applyFont="1" applyBorder="1" applyAlignment="1">
      <alignment horizontal="center" vertical="center"/>
    </xf>
    <xf numFmtId="43" fontId="13" fillId="0" borderId="40" xfId="1" applyNumberFormat="1" applyFont="1" applyBorder="1" applyAlignment="1">
      <alignment horizontal="center" vertical="center"/>
    </xf>
    <xf numFmtId="43" fontId="11" fillId="0" borderId="41" xfId="1" applyNumberFormat="1" applyFont="1" applyBorder="1" applyAlignment="1">
      <alignment horizontal="center" vertical="center"/>
    </xf>
    <xf numFmtId="43" fontId="13" fillId="0" borderId="41" xfId="1" applyNumberFormat="1" applyFont="1" applyBorder="1" applyAlignment="1">
      <alignment horizontal="center" vertical="center"/>
    </xf>
    <xf numFmtId="0" fontId="13" fillId="0" borderId="7" xfId="1" applyFont="1" applyBorder="1" applyAlignment="1">
      <alignment horizontal="right" vertical="top"/>
    </xf>
    <xf numFmtId="0" fontId="13" fillId="0" borderId="8" xfId="1" applyFont="1" applyBorder="1" applyAlignment="1">
      <alignment horizontal="right" vertical="top"/>
    </xf>
    <xf numFmtId="43" fontId="13" fillId="0" borderId="6" xfId="1" applyNumberFormat="1" applyFont="1" applyBorder="1" applyAlignment="1">
      <alignment horizontal="center" vertical="center"/>
    </xf>
    <xf numFmtId="2" fontId="13" fillId="0" borderId="36" xfId="1" applyNumberFormat="1" applyFont="1" applyBorder="1" applyAlignment="1">
      <alignment horizontal="right" vertical="top"/>
    </xf>
    <xf numFmtId="0" fontId="13" fillId="0" borderId="33" xfId="1" applyFont="1" applyBorder="1" applyAlignment="1">
      <alignment horizontal="right" vertical="top"/>
    </xf>
    <xf numFmtId="0" fontId="13" fillId="0" borderId="36" xfId="1" applyFont="1" applyBorder="1" applyAlignment="1">
      <alignment horizontal="right" vertical="top"/>
    </xf>
    <xf numFmtId="0" fontId="11" fillId="0" borderId="1" xfId="1" applyFont="1" applyBorder="1" applyAlignment="1">
      <alignment vertical="top"/>
    </xf>
    <xf numFmtId="0" fontId="11" fillId="0" borderId="2" xfId="1" applyFont="1" applyBorder="1" applyAlignment="1">
      <alignment vertical="top"/>
    </xf>
    <xf numFmtId="0" fontId="11" fillId="0" borderId="3" xfId="1" applyFont="1" applyBorder="1" applyAlignment="1">
      <alignment vertical="top"/>
    </xf>
    <xf numFmtId="164" fontId="13" fillId="0" borderId="36" xfId="1" applyNumberFormat="1" applyFont="1" applyBorder="1" applyAlignment="1">
      <alignment horizontal="right" vertical="center"/>
    </xf>
    <xf numFmtId="164" fontId="13" fillId="0" borderId="6" xfId="1" applyNumberFormat="1" applyFont="1" applyBorder="1" applyAlignment="1">
      <alignment horizontal="right" vertical="center"/>
    </xf>
    <xf numFmtId="2" fontId="13" fillId="0" borderId="36" xfId="1" applyNumberFormat="1" applyFont="1" applyBorder="1" applyAlignment="1">
      <alignment horizontal="center" vertical="top"/>
    </xf>
    <xf numFmtId="2" fontId="13" fillId="0" borderId="34" xfId="1" applyNumberFormat="1" applyFont="1" applyBorder="1" applyAlignment="1">
      <alignment horizontal="right" vertical="center"/>
    </xf>
    <xf numFmtId="2" fontId="11" fillId="0" borderId="6" xfId="1" applyNumberFormat="1" applyFont="1" applyBorder="1" applyAlignment="1">
      <alignment horizontal="right" vertical="center"/>
    </xf>
    <xf numFmtId="2" fontId="11" fillId="0" borderId="34" xfId="1" applyNumberFormat="1" applyFont="1" applyBorder="1" applyAlignment="1">
      <alignment horizontal="right" vertical="center"/>
    </xf>
    <xf numFmtId="1" fontId="11" fillId="10" borderId="11" xfId="1" applyNumberFormat="1" applyFont="1" applyFill="1" applyBorder="1" applyAlignment="1">
      <alignment horizontal="center" vertical="center" shrinkToFit="1"/>
    </xf>
    <xf numFmtId="2" fontId="13" fillId="0" borderId="6" xfId="1" applyNumberFormat="1" applyFont="1" applyBorder="1" applyAlignment="1">
      <alignment horizontal="center" vertical="center"/>
    </xf>
    <xf numFmtId="0" fontId="13" fillId="0" borderId="31" xfId="1" applyFont="1" applyBorder="1" applyAlignment="1">
      <alignment vertical="center"/>
    </xf>
    <xf numFmtId="0" fontId="13" fillId="0" borderId="32" xfId="1" applyFont="1" applyBorder="1" applyAlignment="1">
      <alignment horizontal="center" vertical="center"/>
    </xf>
    <xf numFmtId="2" fontId="13" fillId="0" borderId="32" xfId="1" applyNumberFormat="1" applyFont="1" applyBorder="1" applyAlignment="1">
      <alignment horizontal="center" vertical="center"/>
    </xf>
    <xf numFmtId="0" fontId="13" fillId="0" borderId="2" xfId="1" applyFont="1" applyBorder="1" applyAlignment="1">
      <alignment vertical="top"/>
    </xf>
    <xf numFmtId="2" fontId="13" fillId="0" borderId="32" xfId="1" applyNumberFormat="1" applyFont="1" applyBorder="1" applyAlignment="1">
      <alignment vertical="center"/>
    </xf>
    <xf numFmtId="2" fontId="13" fillId="0" borderId="32" xfId="1" applyNumberFormat="1" applyFont="1" applyBorder="1" applyAlignment="1">
      <alignment vertical="top"/>
    </xf>
    <xf numFmtId="2" fontId="13" fillId="0" borderId="34" xfId="1" applyNumberFormat="1" applyFont="1" applyBorder="1" applyAlignment="1">
      <alignment horizontal="center" vertical="center"/>
    </xf>
    <xf numFmtId="0" fontId="13" fillId="0" borderId="4" xfId="1" applyFont="1" applyBorder="1" applyAlignment="1">
      <alignment vertical="center"/>
    </xf>
    <xf numFmtId="0" fontId="13" fillId="0" borderId="5" xfId="1" applyFont="1" applyBorder="1" applyAlignment="1">
      <alignment horizontal="center" vertical="center"/>
    </xf>
    <xf numFmtId="2" fontId="13" fillId="0" borderId="5" xfId="1" applyNumberFormat="1" applyFont="1" applyBorder="1" applyAlignment="1">
      <alignment vertical="center"/>
    </xf>
    <xf numFmtId="0" fontId="13" fillId="0" borderId="4" xfId="1" applyFont="1" applyBorder="1" applyAlignment="1">
      <alignment vertical="center" wrapText="1"/>
    </xf>
    <xf numFmtId="0" fontId="13" fillId="0" borderId="31" xfId="1" applyFont="1" applyBorder="1" applyAlignment="1">
      <alignment vertical="center" wrapText="1"/>
    </xf>
    <xf numFmtId="43" fontId="4" fillId="0" borderId="40" xfId="1" applyNumberFormat="1" applyFont="1" applyBorder="1" applyAlignment="1">
      <alignment horizontal="center" vertical="center"/>
    </xf>
    <xf numFmtId="2" fontId="4" fillId="0" borderId="6" xfId="1" applyNumberFormat="1" applyFont="1" applyBorder="1" applyAlignment="1">
      <alignment horizontal="right" vertical="center"/>
    </xf>
    <xf numFmtId="164" fontId="4" fillId="0" borderId="6" xfId="1" applyNumberFormat="1" applyFont="1" applyBorder="1" applyAlignment="1">
      <alignment horizontal="righ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13" fillId="0" borderId="4" xfId="1" applyFont="1" applyBorder="1" applyAlignment="1">
      <alignment horizontal="left" vertical="top"/>
    </xf>
    <xf numFmtId="2" fontId="4" fillId="0" borderId="9" xfId="1" applyNumberFormat="1" applyFont="1" applyBorder="1" applyAlignment="1">
      <alignment horizontal="right" vertical="center"/>
    </xf>
    <xf numFmtId="0" fontId="13" fillId="0" borderId="5" xfId="1" applyFont="1" applyBorder="1" applyAlignment="1">
      <alignment horizontal="left" vertical="top"/>
    </xf>
    <xf numFmtId="1" fontId="11" fillId="9" borderId="11" xfId="1" applyNumberFormat="1" applyFont="1" applyFill="1" applyBorder="1" applyAlignment="1">
      <alignment horizontal="center" vertical="center" wrapText="1" shrinkToFit="1"/>
    </xf>
    <xf numFmtId="0" fontId="13" fillId="0" borderId="32" xfId="1" applyFont="1" applyBorder="1" applyAlignment="1">
      <alignment horizontal="center" vertical="top"/>
    </xf>
    <xf numFmtId="0" fontId="13" fillId="0" borderId="23" xfId="1" applyFont="1" applyBorder="1" applyAlignment="1">
      <alignment vertical="top"/>
    </xf>
    <xf numFmtId="2" fontId="13" fillId="0" borderId="23" xfId="1" applyNumberFormat="1" applyFont="1" applyBorder="1" applyAlignment="1">
      <alignment vertical="top"/>
    </xf>
    <xf numFmtId="0" fontId="13" fillId="0" borderId="24" xfId="1" applyFont="1" applyBorder="1" applyAlignment="1">
      <alignment horizontal="center" vertical="top"/>
    </xf>
    <xf numFmtId="0" fontId="13" fillId="0" borderId="26" xfId="1" applyFont="1" applyBorder="1" applyAlignment="1">
      <alignment horizontal="left" vertical="top"/>
    </xf>
    <xf numFmtId="0" fontId="13" fillId="0" borderId="33" xfId="1" applyFont="1" applyBorder="1" applyAlignment="1">
      <alignment horizontal="left" vertical="center"/>
    </xf>
    <xf numFmtId="2" fontId="4" fillId="0" borderId="9" xfId="1" applyNumberFormat="1" applyFont="1" applyBorder="1" applyAlignment="1">
      <alignment vertical="top"/>
    </xf>
    <xf numFmtId="0" fontId="13" fillId="0" borderId="31" xfId="1" applyFont="1" applyBorder="1" applyAlignment="1">
      <alignment horizontal="left" vertical="top"/>
    </xf>
    <xf numFmtId="2" fontId="13" fillId="0" borderId="23" xfId="1" applyNumberFormat="1" applyFont="1" applyBorder="1" applyAlignment="1">
      <alignment horizontal="right" vertical="center"/>
    </xf>
    <xf numFmtId="0" fontId="13" fillId="0" borderId="33" xfId="1" applyFont="1" applyBorder="1" applyAlignment="1">
      <alignment horizontal="left" vertical="center" wrapText="1"/>
    </xf>
    <xf numFmtId="0" fontId="13" fillId="0" borderId="5" xfId="1" applyFont="1" applyBorder="1" applyAlignment="1">
      <alignment horizontal="left" vertical="center"/>
    </xf>
    <xf numFmtId="4" fontId="7" fillId="0" borderId="13" xfId="0" applyNumberFormat="1" applyFont="1" applyBorder="1" applyAlignment="1">
      <alignment horizontal="right" vertical="center" wrapText="1"/>
    </xf>
    <xf numFmtId="0" fontId="13" fillId="0" borderId="4" xfId="1" applyFont="1" applyBorder="1" applyAlignment="1">
      <alignment vertical="top"/>
    </xf>
    <xf numFmtId="2" fontId="13" fillId="0" borderId="3" xfId="1" applyNumberFormat="1" applyFont="1" applyBorder="1" applyAlignment="1">
      <alignment vertical="center" wrapText="1"/>
    </xf>
    <xf numFmtId="1" fontId="11" fillId="2" borderId="11" xfId="1" applyNumberFormat="1" applyFont="1" applyFill="1" applyBorder="1" applyAlignment="1">
      <alignment horizontal="center" vertical="center" shrinkToFit="1"/>
    </xf>
    <xf numFmtId="2" fontId="7" fillId="0" borderId="6" xfId="1" applyNumberFormat="1" applyFont="1" applyBorder="1" applyAlignment="1">
      <alignment vertical="top"/>
    </xf>
    <xf numFmtId="43" fontId="7" fillId="0" borderId="40" xfId="1" applyNumberFormat="1" applyFont="1" applyBorder="1" applyAlignment="1">
      <alignment horizontal="center" vertical="center"/>
    </xf>
    <xf numFmtId="164" fontId="7" fillId="0" borderId="6" xfId="1" applyNumberFormat="1" applyFont="1" applyBorder="1" applyAlignment="1">
      <alignment horizontal="right" vertical="center"/>
    </xf>
    <xf numFmtId="2" fontId="7" fillId="0" borderId="6" xfId="1" applyNumberFormat="1" applyFont="1" applyBorder="1" applyAlignment="1">
      <alignment horizontal="right" vertical="center"/>
    </xf>
    <xf numFmtId="2" fontId="13" fillId="0" borderId="3" xfId="1" applyNumberFormat="1" applyFont="1" applyBorder="1" applyAlignment="1">
      <alignment horizontal="right" vertical="top" wrapText="1"/>
    </xf>
    <xf numFmtId="0" fontId="4" fillId="4" borderId="11" xfId="0" applyFont="1" applyFill="1" applyBorder="1" applyAlignment="1">
      <alignment horizontal="right" vertical="center" wrapText="1"/>
    </xf>
    <xf numFmtId="0" fontId="4" fillId="4" borderId="0" xfId="0" applyFont="1" applyFill="1" applyAlignment="1">
      <alignment horizontal="left" vertical="center" wrapText="1"/>
    </xf>
    <xf numFmtId="0" fontId="4" fillId="4" borderId="0" xfId="0" applyFont="1" applyFill="1" applyAlignment="1">
      <alignment horizontal="right" vertical="center" wrapText="1"/>
    </xf>
    <xf numFmtId="4" fontId="4" fillId="4" borderId="0" xfId="0" applyNumberFormat="1" applyFont="1" applyFill="1" applyAlignment="1">
      <alignment horizontal="right" vertical="center" wrapText="1"/>
    </xf>
    <xf numFmtId="4" fontId="7" fillId="4" borderId="0" xfId="0" applyNumberFormat="1" applyFont="1" applyFill="1" applyAlignment="1">
      <alignment horizontal="right" vertical="center" wrapText="1"/>
    </xf>
    <xf numFmtId="0" fontId="2" fillId="0" borderId="0" xfId="0" applyFont="1" applyAlignment="1">
      <alignment horizontal="right" vertical="center"/>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9" fillId="2" borderId="10" xfId="0" applyFont="1" applyFill="1" applyBorder="1" applyAlignment="1">
      <alignment horizontal="center" vertical="center"/>
    </xf>
    <xf numFmtId="0" fontId="10" fillId="3" borderId="11"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0" borderId="11" xfId="0" applyFont="1" applyBorder="1" applyAlignment="1">
      <alignment horizontal="center" vertical="center"/>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6" fillId="0" borderId="4" xfId="0" applyFont="1" applyBorder="1" applyAlignment="1">
      <alignment horizontal="right" vertical="center"/>
    </xf>
    <xf numFmtId="0" fontId="6" fillId="0" borderId="5" xfId="0" applyFont="1" applyBorder="1" applyAlignment="1">
      <alignment horizontal="right" vertical="center"/>
    </xf>
    <xf numFmtId="44" fontId="6" fillId="0" borderId="5" xfId="0" applyNumberFormat="1" applyFont="1" applyBorder="1" applyAlignment="1">
      <alignment horizontal="center" vertical="center"/>
    </xf>
    <xf numFmtId="0" fontId="8" fillId="0" borderId="4" xfId="0" applyFont="1" applyBorder="1" applyAlignment="1">
      <alignment horizontal="left" vertical="center" wrapText="1"/>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right" vertical="center"/>
    </xf>
    <xf numFmtId="0" fontId="6" fillId="0" borderId="8" xfId="0" applyFont="1" applyBorder="1" applyAlignment="1">
      <alignment horizontal="right" vertical="center"/>
    </xf>
    <xf numFmtId="44" fontId="6" fillId="0" borderId="8" xfId="0" applyNumberFormat="1" applyFont="1" applyBorder="1" applyAlignment="1">
      <alignment horizontal="center" vertical="center"/>
    </xf>
    <xf numFmtId="0" fontId="2" fillId="0" borderId="0" xfId="0" applyFont="1" applyAlignment="1">
      <alignment horizont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left" vertical="top"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6" fillId="0" borderId="1" xfId="0" applyFont="1" applyBorder="1" applyAlignment="1">
      <alignment horizontal="right" vertical="center"/>
    </xf>
    <xf numFmtId="0" fontId="6" fillId="0" borderId="2" xfId="0" applyFont="1" applyBorder="1" applyAlignment="1">
      <alignment horizontal="right" vertical="center"/>
    </xf>
    <xf numFmtId="44" fontId="6" fillId="0" borderId="2" xfId="0" applyNumberFormat="1" applyFont="1" applyBorder="1" applyAlignment="1">
      <alignment horizontal="center" vertical="center"/>
    </xf>
    <xf numFmtId="0" fontId="13" fillId="0" borderId="4" xfId="1" applyFont="1" applyBorder="1" applyAlignment="1">
      <alignment horizontal="right" vertical="top"/>
    </xf>
    <xf numFmtId="0" fontId="13" fillId="0" borderId="5" xfId="1" applyFont="1" applyBorder="1" applyAlignment="1">
      <alignment horizontal="right" vertical="top"/>
    </xf>
    <xf numFmtId="0" fontId="4" fillId="0" borderId="4" xfId="1" applyFont="1" applyBorder="1" applyAlignment="1">
      <alignment horizontal="right" vertical="top"/>
    </xf>
    <xf numFmtId="0" fontId="4" fillId="0" borderId="5" xfId="1" applyFont="1" applyBorder="1" applyAlignment="1">
      <alignment horizontal="right" vertical="top"/>
    </xf>
    <xf numFmtId="0" fontId="4" fillId="2" borderId="11" xfId="1" applyFont="1" applyFill="1" applyBorder="1" applyAlignment="1">
      <alignment horizontal="left" vertical="center" wrapText="1"/>
    </xf>
    <xf numFmtId="0" fontId="7" fillId="0" borderId="4" xfId="1" applyFont="1" applyBorder="1" applyAlignment="1">
      <alignment horizontal="right" vertical="top"/>
    </xf>
    <xf numFmtId="0" fontId="7" fillId="0" borderId="5" xfId="1" applyFont="1" applyBorder="1" applyAlignment="1">
      <alignment horizontal="right" vertical="top"/>
    </xf>
    <xf numFmtId="0" fontId="13" fillId="0" borderId="30" xfId="1" applyFont="1" applyBorder="1" applyAlignment="1">
      <alignment horizontal="right" vertical="top"/>
    </xf>
    <xf numFmtId="0" fontId="7" fillId="0" borderId="30" xfId="1" applyFont="1" applyBorder="1" applyAlignment="1">
      <alignment horizontal="right" vertical="top"/>
    </xf>
    <xf numFmtId="0" fontId="4" fillId="0" borderId="30" xfId="1" applyFont="1" applyBorder="1" applyAlignment="1">
      <alignment horizontal="right" vertical="top"/>
    </xf>
    <xf numFmtId="0" fontId="4" fillId="8" borderId="11" xfId="1" applyFont="1" applyFill="1" applyBorder="1" applyAlignment="1">
      <alignment horizontal="left" vertical="center" wrapText="1"/>
    </xf>
    <xf numFmtId="0" fontId="11" fillId="7" borderId="11" xfId="1" applyFont="1" applyFill="1" applyBorder="1" applyAlignment="1">
      <alignment horizontal="left" vertical="center"/>
    </xf>
    <xf numFmtId="0" fontId="13" fillId="0" borderId="4" xfId="1" applyFont="1" applyBorder="1" applyAlignment="1">
      <alignment horizontal="center" vertical="top"/>
    </xf>
    <xf numFmtId="0" fontId="13" fillId="0" borderId="5" xfId="1" applyFont="1" applyBorder="1" applyAlignment="1">
      <alignment horizontal="center" vertical="top"/>
    </xf>
    <xf numFmtId="0" fontId="4" fillId="9" borderId="11" xfId="1" applyFont="1" applyFill="1" applyBorder="1" applyAlignment="1">
      <alignment horizontal="left" vertical="center"/>
    </xf>
    <xf numFmtId="0" fontId="13" fillId="0" borderId="33" xfId="1" applyFont="1" applyBorder="1" applyAlignment="1">
      <alignment horizontal="left" vertical="top"/>
    </xf>
    <xf numFmtId="0" fontId="13" fillId="0" borderId="23" xfId="1" applyFont="1" applyBorder="1" applyAlignment="1">
      <alignment horizontal="left" vertical="top"/>
    </xf>
    <xf numFmtId="0" fontId="4" fillId="0" borderId="39" xfId="1" applyFont="1" applyBorder="1" applyAlignment="1">
      <alignment horizontal="right" vertical="top"/>
    </xf>
    <xf numFmtId="0" fontId="13" fillId="0" borderId="39" xfId="1" applyFont="1" applyBorder="1" applyAlignment="1">
      <alignment horizontal="right" vertical="top"/>
    </xf>
    <xf numFmtId="0" fontId="7" fillId="0" borderId="39" xfId="1" applyFont="1" applyBorder="1" applyAlignment="1">
      <alignment horizontal="right" vertical="top"/>
    </xf>
    <xf numFmtId="0" fontId="16" fillId="6" borderId="20" xfId="1" applyFont="1" applyFill="1" applyBorder="1" applyAlignment="1">
      <alignment horizontal="center" vertical="center" wrapText="1"/>
    </xf>
    <xf numFmtId="0" fontId="16" fillId="6" borderId="21" xfId="1" applyFont="1" applyFill="1" applyBorder="1" applyAlignment="1">
      <alignment horizontal="center" vertical="center" wrapText="1"/>
    </xf>
    <xf numFmtId="0" fontId="16" fillId="6" borderId="22" xfId="1" applyFont="1" applyFill="1" applyBorder="1" applyAlignment="1">
      <alignment horizontal="center" vertical="center" wrapText="1"/>
    </xf>
    <xf numFmtId="0" fontId="4" fillId="8" borderId="27" xfId="1" applyFont="1" applyFill="1" applyBorder="1" applyAlignment="1">
      <alignment horizontal="left" vertical="center" wrapText="1"/>
    </xf>
    <xf numFmtId="0" fontId="4" fillId="8" borderId="28" xfId="1" applyFont="1" applyFill="1" applyBorder="1" applyAlignment="1">
      <alignment horizontal="left" vertical="center" wrapText="1"/>
    </xf>
    <xf numFmtId="0" fontId="4" fillId="8" borderId="29" xfId="1" applyFont="1" applyFill="1" applyBorder="1" applyAlignment="1">
      <alignment horizontal="left" vertical="center" wrapText="1"/>
    </xf>
    <xf numFmtId="0" fontId="4" fillId="9" borderId="11" xfId="1" applyFont="1" applyFill="1" applyBorder="1" applyAlignment="1">
      <alignment horizontal="left" vertical="center" wrapText="1"/>
    </xf>
    <xf numFmtId="0" fontId="13" fillId="0" borderId="1" xfId="1" applyFont="1" applyBorder="1" applyAlignment="1">
      <alignment horizontal="right" vertical="top" wrapText="1"/>
    </xf>
    <xf numFmtId="0" fontId="13" fillId="0" borderId="2" xfId="1" applyFont="1" applyBorder="1" applyAlignment="1">
      <alignment horizontal="right" vertical="top" wrapText="1"/>
    </xf>
    <xf numFmtId="0" fontId="13" fillId="0" borderId="4" xfId="1" applyFont="1" applyBorder="1" applyAlignment="1">
      <alignment horizontal="right" vertical="top" wrapText="1"/>
    </xf>
    <xf numFmtId="0" fontId="13" fillId="0" borderId="5" xfId="1" applyFont="1" applyBorder="1" applyAlignment="1">
      <alignment horizontal="right" vertical="top" wrapText="1"/>
    </xf>
    <xf numFmtId="0" fontId="13" fillId="0" borderId="1" xfId="1" applyFont="1" applyBorder="1" applyAlignment="1">
      <alignment horizontal="center" vertical="top"/>
    </xf>
    <xf numFmtId="0" fontId="13" fillId="0" borderId="2" xfId="1" applyFont="1" applyBorder="1" applyAlignment="1">
      <alignment horizontal="center" vertical="top"/>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13" fillId="0" borderId="18" xfId="1" applyFont="1" applyBorder="1" applyAlignment="1">
      <alignment horizontal="right" vertical="top"/>
    </xf>
    <xf numFmtId="0" fontId="13" fillId="0" borderId="0" xfId="1" applyFont="1" applyAlignment="1">
      <alignment horizontal="right" vertical="top"/>
    </xf>
    <xf numFmtId="0" fontId="4" fillId="0" borderId="44" xfId="1" applyFont="1" applyBorder="1" applyAlignment="1">
      <alignment horizontal="right" vertical="top"/>
    </xf>
    <xf numFmtId="0" fontId="4" fillId="0" borderId="7" xfId="1" applyFont="1" applyBorder="1" applyAlignment="1">
      <alignment horizontal="right" vertical="top"/>
    </xf>
    <xf numFmtId="0" fontId="13" fillId="0" borderId="4" xfId="1" applyFont="1" applyBorder="1" applyAlignment="1">
      <alignment horizontal="left" vertical="top"/>
    </xf>
    <xf numFmtId="0" fontId="13" fillId="0" borderId="5" xfId="1" applyFont="1" applyBorder="1" applyAlignment="1">
      <alignment horizontal="left" vertical="top"/>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15" xfId="1" applyFont="1" applyBorder="1" applyAlignment="1">
      <alignment horizontal="center" vertical="top"/>
    </xf>
    <xf numFmtId="0" fontId="13" fillId="0" borderId="16" xfId="1" applyFont="1" applyBorder="1" applyAlignment="1">
      <alignment horizontal="center" vertical="top"/>
    </xf>
    <xf numFmtId="0" fontId="11" fillId="0" borderId="30" xfId="1" applyFont="1" applyBorder="1" applyAlignment="1">
      <alignment horizontal="right" vertical="top"/>
    </xf>
    <xf numFmtId="0" fontId="11" fillId="0" borderId="4" xfId="1" applyFont="1" applyBorder="1" applyAlignment="1">
      <alignment horizontal="right" vertical="top"/>
    </xf>
    <xf numFmtId="0" fontId="4" fillId="10" borderId="11" xfId="1" applyFont="1" applyFill="1" applyBorder="1" applyAlignment="1">
      <alignment horizontal="left" vertical="center"/>
    </xf>
    <xf numFmtId="2" fontId="13" fillId="0" borderId="5" xfId="1" applyNumberFormat="1" applyFont="1" applyBorder="1" applyAlignment="1">
      <alignment horizontal="center" vertical="top"/>
    </xf>
    <xf numFmtId="0" fontId="13" fillId="0" borderId="31" xfId="1" applyFont="1" applyBorder="1" applyAlignment="1">
      <alignment horizontal="center" vertical="center"/>
    </xf>
    <xf numFmtId="0" fontId="13" fillId="0" borderId="33" xfId="1" applyFont="1" applyBorder="1" applyAlignment="1">
      <alignment horizontal="center" vertical="center"/>
    </xf>
    <xf numFmtId="0" fontId="13" fillId="0" borderId="1" xfId="1" applyFont="1" applyBorder="1" applyAlignment="1">
      <alignment horizontal="right" vertical="top"/>
    </xf>
    <xf numFmtId="0" fontId="13" fillId="0" borderId="2" xfId="1" applyFont="1" applyBorder="1" applyAlignment="1">
      <alignment horizontal="right" vertical="top"/>
    </xf>
    <xf numFmtId="0" fontId="13" fillId="0" borderId="33" xfId="1" applyFont="1" applyBorder="1" applyAlignment="1">
      <alignment horizontal="right" vertical="top"/>
    </xf>
    <xf numFmtId="0" fontId="13" fillId="0" borderId="23" xfId="1" applyFont="1" applyBorder="1" applyAlignment="1">
      <alignment horizontal="right" vertical="top"/>
    </xf>
    <xf numFmtId="0" fontId="13" fillId="0" borderId="33" xfId="1" applyFont="1" applyBorder="1" applyAlignment="1">
      <alignment horizontal="right" vertical="top" wrapText="1"/>
    </xf>
    <xf numFmtId="0" fontId="13" fillId="0" borderId="23" xfId="1" applyFont="1" applyBorder="1" applyAlignment="1">
      <alignment horizontal="right" vertical="top" wrapText="1"/>
    </xf>
    <xf numFmtId="0" fontId="11" fillId="0" borderId="42" xfId="1" applyFont="1" applyBorder="1" applyAlignment="1">
      <alignment horizontal="left" vertical="top"/>
    </xf>
    <xf numFmtId="0" fontId="11" fillId="0" borderId="43" xfId="1" applyFont="1" applyBorder="1" applyAlignment="1">
      <alignment horizontal="left" vertical="top"/>
    </xf>
    <xf numFmtId="0" fontId="11" fillId="0" borderId="38" xfId="1" applyFont="1" applyBorder="1" applyAlignment="1">
      <alignment horizontal="left" vertical="top"/>
    </xf>
    <xf numFmtId="0" fontId="11" fillId="0" borderId="1" xfId="1" applyFont="1" applyBorder="1" applyAlignment="1">
      <alignment horizontal="left" vertical="top"/>
    </xf>
    <xf numFmtId="0" fontId="11" fillId="0" borderId="2" xfId="1" applyFont="1" applyBorder="1" applyAlignment="1">
      <alignment horizontal="left" vertical="top"/>
    </xf>
    <xf numFmtId="0" fontId="11" fillId="0" borderId="3" xfId="1" applyFont="1" applyBorder="1" applyAlignment="1">
      <alignment horizontal="left" vertical="top"/>
    </xf>
    <xf numFmtId="0" fontId="13" fillId="0" borderId="39" xfId="1" applyFont="1" applyBorder="1" applyAlignment="1">
      <alignment horizontal="right" vertical="top" wrapText="1"/>
    </xf>
    <xf numFmtId="0" fontId="13" fillId="0" borderId="37" xfId="1" applyFont="1" applyBorder="1" applyAlignment="1">
      <alignment horizontal="right" vertical="top"/>
    </xf>
    <xf numFmtId="0" fontId="4" fillId="0" borderId="8" xfId="1" applyFont="1" applyBorder="1" applyAlignment="1">
      <alignment horizontal="right" vertical="top"/>
    </xf>
    <xf numFmtId="0" fontId="13" fillId="0" borderId="33" xfId="1" applyFont="1" applyBorder="1" applyAlignment="1">
      <alignment horizontal="center" vertical="top"/>
    </xf>
    <xf numFmtId="0" fontId="13" fillId="0" borderId="23" xfId="1" applyFont="1" applyBorder="1" applyAlignment="1">
      <alignment horizontal="center" vertical="top"/>
    </xf>
    <xf numFmtId="0" fontId="4" fillId="9" borderId="27" xfId="1" applyFont="1" applyFill="1" applyBorder="1" applyAlignment="1">
      <alignment horizontal="left" vertical="center" wrapText="1"/>
    </xf>
    <xf numFmtId="0" fontId="4" fillId="9" borderId="28" xfId="1" applyFont="1" applyFill="1" applyBorder="1" applyAlignment="1">
      <alignment horizontal="left" vertical="center" wrapText="1"/>
    </xf>
    <xf numFmtId="0" fontId="4" fillId="9" borderId="29" xfId="1" applyFont="1" applyFill="1" applyBorder="1" applyAlignment="1">
      <alignment horizontal="left" vertical="center" wrapText="1"/>
    </xf>
    <xf numFmtId="0" fontId="13" fillId="0" borderId="33" xfId="1" applyFont="1" applyBorder="1" applyAlignment="1">
      <alignment horizontal="left" vertical="center"/>
    </xf>
    <xf numFmtId="0" fontId="13" fillId="0" borderId="18" xfId="1" applyFont="1" applyBorder="1" applyAlignment="1">
      <alignment horizontal="left" vertical="center"/>
    </xf>
    <xf numFmtId="0" fontId="13" fillId="0" borderId="31" xfId="1" applyFont="1" applyBorder="1" applyAlignment="1">
      <alignment horizontal="left" vertical="center" wrapText="1"/>
    </xf>
    <xf numFmtId="0" fontId="13" fillId="0" borderId="18" xfId="1" applyFont="1" applyBorder="1" applyAlignment="1">
      <alignment horizontal="left" vertical="center" wrapText="1"/>
    </xf>
    <xf numFmtId="0" fontId="13" fillId="0" borderId="33" xfId="1" applyFont="1" applyBorder="1" applyAlignment="1">
      <alignment horizontal="left" vertical="center" wrapText="1"/>
    </xf>
    <xf numFmtId="0" fontId="13" fillId="0" borderId="4" xfId="1" applyFont="1" applyBorder="1" applyAlignment="1">
      <alignment horizontal="right" vertical="center" wrapText="1"/>
    </xf>
    <xf numFmtId="0" fontId="13" fillId="0" borderId="5" xfId="1" applyFont="1" applyBorder="1" applyAlignment="1">
      <alignment horizontal="right" vertical="center" wrapText="1"/>
    </xf>
    <xf numFmtId="0" fontId="4" fillId="0" borderId="4" xfId="1" applyFont="1" applyBorder="1" applyAlignment="1">
      <alignment horizontal="right" vertical="center" wrapText="1"/>
    </xf>
    <xf numFmtId="0" fontId="4" fillId="0" borderId="5" xfId="1" applyFont="1" applyBorder="1" applyAlignment="1">
      <alignment horizontal="right" vertical="center" wrapText="1"/>
    </xf>
    <xf numFmtId="0" fontId="13" fillId="0" borderId="1" xfId="1" applyFont="1" applyBorder="1" applyAlignment="1">
      <alignment horizontal="right" vertical="center" wrapText="1"/>
    </xf>
    <xf numFmtId="0" fontId="13" fillId="0" borderId="2" xfId="1" applyFont="1" applyBorder="1" applyAlignment="1">
      <alignment horizontal="right" vertical="center" wrapText="1"/>
    </xf>
    <xf numFmtId="43" fontId="13" fillId="0" borderId="13" xfId="0" applyNumberFormat="1" applyFont="1" applyFill="1" applyBorder="1" applyAlignment="1">
      <alignment horizontal="right" vertical="center" wrapText="1"/>
    </xf>
    <xf numFmtId="0" fontId="19" fillId="0" borderId="0" xfId="0" applyFont="1" applyAlignment="1">
      <alignment horizontal="right" vertical="center"/>
    </xf>
  </cellXfs>
  <cellStyles count="4">
    <cellStyle name="Normal" xfId="0" builtinId="0"/>
    <cellStyle name="Normal 2" xfId="1" xr:uid="{F912777C-20B8-46A7-8DBE-193F339877DC}"/>
    <cellStyle name="Normal 3" xfId="2" xr:uid="{022E6B72-AA1E-4FC1-A249-4D3A5EBB8755}"/>
    <cellStyle name="Vírgula 2" xfId="3" xr:uid="{EF567113-1E12-41AE-AD5C-2027FEDD6D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261938</xdr:colOff>
      <xdr:row>0</xdr:row>
      <xdr:rowOff>71438</xdr:rowOff>
    </xdr:from>
    <xdr:to>
      <xdr:col>1</xdr:col>
      <xdr:colOff>1488281</xdr:colOff>
      <xdr:row>1</xdr:row>
      <xdr:rowOff>900493</xdr:rowOff>
    </xdr:to>
    <xdr:pic>
      <xdr:nvPicPr>
        <xdr:cNvPr id="2" name="Imagem 1">
          <a:extLst>
            <a:ext uri="{FF2B5EF4-FFF2-40B4-BE49-F238E27FC236}">
              <a16:creationId xmlns:a16="http://schemas.microsoft.com/office/drawing/2014/main" id="{BDC3E057-DF37-4213-9DFB-136B491D7E95}"/>
            </a:ext>
          </a:extLst>
        </xdr:cNvPr>
        <xdr:cNvPicPr>
          <a:picLocks noChangeAspect="1"/>
        </xdr:cNvPicPr>
      </xdr:nvPicPr>
      <xdr:blipFill rotWithShape="1">
        <a:blip xmlns:r="http://schemas.openxmlformats.org/officeDocument/2006/relationships" r:embed="rId1"/>
        <a:srcRect l="5644" t="25413" r="78657" b="65488"/>
        <a:stretch/>
      </xdr:blipFill>
      <xdr:spPr bwMode="auto">
        <a:xfrm>
          <a:off x="261938" y="71438"/>
          <a:ext cx="2285999" cy="1019555"/>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370416</xdr:colOff>
      <xdr:row>0</xdr:row>
      <xdr:rowOff>105833</xdr:rowOff>
    </xdr:from>
    <xdr:to>
      <xdr:col>4</xdr:col>
      <xdr:colOff>412748</xdr:colOff>
      <xdr:row>4</xdr:row>
      <xdr:rowOff>56816</xdr:rowOff>
    </xdr:to>
    <xdr:pic>
      <xdr:nvPicPr>
        <xdr:cNvPr id="2" name="Picture 7">
          <a:extLst>
            <a:ext uri="{FF2B5EF4-FFF2-40B4-BE49-F238E27FC236}">
              <a16:creationId xmlns:a16="http://schemas.microsoft.com/office/drawing/2014/main" id="{F157B833-1A2E-4EA3-B479-86AC42D1E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0416" y="105833"/>
          <a:ext cx="5714999" cy="5859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158751</xdr:colOff>
      <xdr:row>0</xdr:row>
      <xdr:rowOff>63498</xdr:rowOff>
    </xdr:from>
    <xdr:to>
      <xdr:col>4</xdr:col>
      <xdr:colOff>910167</xdr:colOff>
      <xdr:row>3</xdr:row>
      <xdr:rowOff>173231</xdr:rowOff>
    </xdr:to>
    <xdr:pic>
      <xdr:nvPicPr>
        <xdr:cNvPr id="2" name="Picture 7">
          <a:extLst>
            <a:ext uri="{FF2B5EF4-FFF2-40B4-BE49-F238E27FC236}">
              <a16:creationId xmlns:a16="http://schemas.microsoft.com/office/drawing/2014/main" id="{65541903-33D0-414C-8DC5-677676F064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1" y="63498"/>
          <a:ext cx="5714999" cy="5859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243417</xdr:colOff>
      <xdr:row>0</xdr:row>
      <xdr:rowOff>116418</xdr:rowOff>
    </xdr:from>
    <xdr:to>
      <xdr:col>4</xdr:col>
      <xdr:colOff>476249</xdr:colOff>
      <xdr:row>4</xdr:row>
      <xdr:rowOff>67401</xdr:rowOff>
    </xdr:to>
    <xdr:pic>
      <xdr:nvPicPr>
        <xdr:cNvPr id="2" name="Picture 7">
          <a:extLst>
            <a:ext uri="{FF2B5EF4-FFF2-40B4-BE49-F238E27FC236}">
              <a16:creationId xmlns:a16="http://schemas.microsoft.com/office/drawing/2014/main" id="{0AFA0BC0-4A75-4C72-AA2B-EE3B9CA64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417" y="116418"/>
          <a:ext cx="5714999" cy="5859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317500</xdr:colOff>
      <xdr:row>0</xdr:row>
      <xdr:rowOff>127000</xdr:rowOff>
    </xdr:from>
    <xdr:to>
      <xdr:col>4</xdr:col>
      <xdr:colOff>941916</xdr:colOff>
      <xdr:row>4</xdr:row>
      <xdr:rowOff>77983</xdr:rowOff>
    </xdr:to>
    <xdr:pic>
      <xdr:nvPicPr>
        <xdr:cNvPr id="2" name="Picture 7">
          <a:extLst>
            <a:ext uri="{FF2B5EF4-FFF2-40B4-BE49-F238E27FC236}">
              <a16:creationId xmlns:a16="http://schemas.microsoft.com/office/drawing/2014/main" id="{A6105A3D-3BEA-4F63-9AE9-21343B857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500" y="127000"/>
          <a:ext cx="5714999" cy="5859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105833</xdr:colOff>
      <xdr:row>0</xdr:row>
      <xdr:rowOff>95250</xdr:rowOff>
    </xdr:from>
    <xdr:to>
      <xdr:col>4</xdr:col>
      <xdr:colOff>507999</xdr:colOff>
      <xdr:row>4</xdr:row>
      <xdr:rowOff>46233</xdr:rowOff>
    </xdr:to>
    <xdr:pic>
      <xdr:nvPicPr>
        <xdr:cNvPr id="2" name="Picture 7">
          <a:extLst>
            <a:ext uri="{FF2B5EF4-FFF2-40B4-BE49-F238E27FC236}">
              <a16:creationId xmlns:a16="http://schemas.microsoft.com/office/drawing/2014/main" id="{E836F878-8460-47BA-A286-79CCC8269A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833" y="95250"/>
          <a:ext cx="5714999" cy="5859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214453</xdr:colOff>
      <xdr:row>0</xdr:row>
      <xdr:rowOff>101934</xdr:rowOff>
    </xdr:from>
    <xdr:to>
      <xdr:col>4</xdr:col>
      <xdr:colOff>730252</xdr:colOff>
      <xdr:row>4</xdr:row>
      <xdr:rowOff>52917</xdr:rowOff>
    </xdr:to>
    <xdr:pic>
      <xdr:nvPicPr>
        <xdr:cNvPr id="2" name="Picture 7">
          <a:extLst>
            <a:ext uri="{FF2B5EF4-FFF2-40B4-BE49-F238E27FC236}">
              <a16:creationId xmlns:a16="http://schemas.microsoft.com/office/drawing/2014/main" id="{344BFE07-99C9-49C4-951C-558E81513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4453" y="101934"/>
          <a:ext cx="5667765" cy="5986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Ju&#231;adiSD\Desktop\PROJETOS%20CAMARA%20MUNICIPAL\SG%20CC%2002%20CMJP%20LANCE.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E:\CAMARA%20MUNICIPAL%20JP\ADITIVO\ADITIVO%2001%20-%20FINAL01.xlsx" TargetMode="External"/><Relationship Id="rId1" Type="http://schemas.openxmlformats.org/officeDocument/2006/relationships/externalLinkPath" Target="/CAMARA%20MUNICIPAL%20JP/ADITIVO/ADITIVO%2001%20-%20FINAL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sheetName val="Planilha Resumida"/>
      <sheetName val="Cronograma SG"/>
      <sheetName val="CPUs"/>
    </sheetNames>
    <sheetDataSet>
      <sheetData sheetId="0" refreshError="1"/>
      <sheetData sheetId="1">
        <row r="7">
          <cell r="E7">
            <v>722837.82000000007</v>
          </cell>
        </row>
      </sheetData>
      <sheetData sheetId="2"/>
      <sheetData sheetId="3">
        <row r="6">
          <cell r="I6">
            <v>49155.89</v>
          </cell>
        </row>
        <row r="17">
          <cell r="I17">
            <v>312.24</v>
          </cell>
        </row>
        <row r="29">
          <cell r="I29">
            <v>254.59</v>
          </cell>
        </row>
        <row r="35">
          <cell r="I35">
            <v>38105.08</v>
          </cell>
        </row>
        <row r="47">
          <cell r="I47">
            <v>573.22715839622401</v>
          </cell>
        </row>
        <row r="98">
          <cell r="I98">
            <v>978.91286938692781</v>
          </cell>
        </row>
        <row r="169">
          <cell r="I169">
            <v>905.00213229131214</v>
          </cell>
        </row>
        <row r="217">
          <cell r="I217">
            <v>51.51</v>
          </cell>
        </row>
        <row r="233">
          <cell r="I233">
            <v>100.66</v>
          </cell>
        </row>
        <row r="247">
          <cell r="I247">
            <v>0.32</v>
          </cell>
        </row>
        <row r="256">
          <cell r="I256">
            <v>637.78</v>
          </cell>
        </row>
        <row r="279">
          <cell r="I279">
            <v>16.239999999999998</v>
          </cell>
        </row>
        <row r="289">
          <cell r="I289">
            <v>45.08</v>
          </cell>
        </row>
        <row r="296">
          <cell r="I296">
            <v>15.85</v>
          </cell>
        </row>
        <row r="306">
          <cell r="I306">
            <v>29.43</v>
          </cell>
        </row>
        <row r="316">
          <cell r="I316">
            <v>2.16</v>
          </cell>
        </row>
        <row r="323">
          <cell r="I323">
            <v>7.5</v>
          </cell>
        </row>
        <row r="332">
          <cell r="I332">
            <v>88.4</v>
          </cell>
        </row>
        <row r="347">
          <cell r="I347">
            <v>10.48</v>
          </cell>
        </row>
        <row r="352">
          <cell r="J352">
            <v>12.95</v>
          </cell>
        </row>
        <row r="355">
          <cell r="I355">
            <v>13.35</v>
          </cell>
        </row>
        <row r="365">
          <cell r="I365">
            <v>127.94</v>
          </cell>
        </row>
        <row r="380">
          <cell r="I380">
            <v>33.15</v>
          </cell>
        </row>
        <row r="390">
          <cell r="I390">
            <v>618.26</v>
          </cell>
        </row>
        <row r="400">
          <cell r="I400">
            <v>78.849999999999994</v>
          </cell>
        </row>
        <row r="407">
          <cell r="I407">
            <v>119.28</v>
          </cell>
        </row>
        <row r="424">
          <cell r="I424">
            <v>68.319999999999993</v>
          </cell>
        </row>
        <row r="430">
          <cell r="I430">
            <v>2.73</v>
          </cell>
        </row>
        <row r="438">
          <cell r="I438">
            <v>11.82</v>
          </cell>
        </row>
        <row r="448">
          <cell r="I448">
            <v>11.26</v>
          </cell>
        </row>
        <row r="458">
          <cell r="I458">
            <v>10.66</v>
          </cell>
        </row>
        <row r="468">
          <cell r="I468">
            <v>15.85</v>
          </cell>
        </row>
        <row r="478">
          <cell r="I478">
            <v>426.8</v>
          </cell>
        </row>
        <row r="487">
          <cell r="I487">
            <v>11.82</v>
          </cell>
        </row>
        <row r="497">
          <cell r="I497">
            <v>11.53</v>
          </cell>
        </row>
        <row r="507">
          <cell r="I507">
            <v>14.84</v>
          </cell>
        </row>
        <row r="517">
          <cell r="I517">
            <v>16.86</v>
          </cell>
        </row>
        <row r="527">
          <cell r="I527">
            <v>15.98</v>
          </cell>
        </row>
        <row r="537">
          <cell r="I537">
            <v>28.331400477099997</v>
          </cell>
        </row>
        <row r="547">
          <cell r="I547">
            <v>200.14249999999998</v>
          </cell>
        </row>
        <row r="551">
          <cell r="J551">
            <v>247.43617274999997</v>
          </cell>
        </row>
        <row r="554">
          <cell r="I554">
            <v>89.81</v>
          </cell>
        </row>
        <row r="559">
          <cell r="J559">
            <v>111.03</v>
          </cell>
        </row>
        <row r="562">
          <cell r="I562">
            <v>639.05999999999995</v>
          </cell>
        </row>
        <row r="570">
          <cell r="J570">
            <v>790.06</v>
          </cell>
        </row>
        <row r="573">
          <cell r="I573">
            <v>48.97</v>
          </cell>
        </row>
        <row r="584">
          <cell r="I584">
            <v>133.0293231</v>
          </cell>
        </row>
        <row r="601">
          <cell r="I601">
            <v>454.69917899999996</v>
          </cell>
        </row>
        <row r="613">
          <cell r="I613">
            <v>121.35</v>
          </cell>
        </row>
        <row r="624">
          <cell r="I624">
            <v>403.36814500000003</v>
          </cell>
        </row>
        <row r="638">
          <cell r="I638">
            <v>91.113440000000011</v>
          </cell>
        </row>
        <row r="649">
          <cell r="I649">
            <v>21.96</v>
          </cell>
        </row>
        <row r="660">
          <cell r="I660">
            <v>63.472000000000008</v>
          </cell>
        </row>
        <row r="670">
          <cell r="I670">
            <v>21.754468079999995</v>
          </cell>
        </row>
        <row r="677">
          <cell r="I677">
            <v>41.924965599999993</v>
          </cell>
        </row>
        <row r="684">
          <cell r="I684">
            <v>33.394647919999997</v>
          </cell>
        </row>
        <row r="691">
          <cell r="I691">
            <v>55.781244319999999</v>
          </cell>
        </row>
        <row r="701">
          <cell r="I701">
            <v>50.583785119999995</v>
          </cell>
        </row>
        <row r="708">
          <cell r="I708">
            <v>76.955122159999988</v>
          </cell>
        </row>
        <row r="718">
          <cell r="I718">
            <v>88.776238399999983</v>
          </cell>
        </row>
        <row r="728">
          <cell r="I728">
            <v>124.54</v>
          </cell>
        </row>
        <row r="734">
          <cell r="I734">
            <v>2.66</v>
          </cell>
        </row>
        <row r="740">
          <cell r="I740">
            <v>26.76</v>
          </cell>
        </row>
        <row r="746">
          <cell r="I746">
            <v>30.1403088</v>
          </cell>
        </row>
        <row r="757">
          <cell r="I757">
            <v>8.91</v>
          </cell>
        </row>
        <row r="765">
          <cell r="I765">
            <v>31.79</v>
          </cell>
        </row>
        <row r="773">
          <cell r="I773">
            <v>90.87</v>
          </cell>
        </row>
        <row r="783">
          <cell r="I783">
            <v>50.274144</v>
          </cell>
        </row>
        <row r="792">
          <cell r="I792">
            <v>49.65</v>
          </cell>
        </row>
        <row r="801">
          <cell r="I801">
            <v>6.57</v>
          </cell>
        </row>
        <row r="810">
          <cell r="I810">
            <v>27.423000000000002</v>
          </cell>
        </row>
        <row r="816">
          <cell r="I816">
            <v>3.1255176000000002</v>
          </cell>
        </row>
        <row r="824">
          <cell r="I824">
            <v>13.412023999999999</v>
          </cell>
        </row>
        <row r="833">
          <cell r="I833">
            <v>8.0119164000000005</v>
          </cell>
        </row>
        <row r="841">
          <cell r="I841">
            <v>3.5169600000000001</v>
          </cell>
        </row>
        <row r="849">
          <cell r="I849">
            <v>14.727829631999999</v>
          </cell>
        </row>
        <row r="858">
          <cell r="I858">
            <v>15.233774400000001</v>
          </cell>
        </row>
        <row r="866">
          <cell r="I866">
            <v>5.33</v>
          </cell>
        </row>
        <row r="876">
          <cell r="I876">
            <v>93.527987999999979</v>
          </cell>
        </row>
        <row r="886">
          <cell r="I886">
            <v>36.129199999999997</v>
          </cell>
        </row>
        <row r="894">
          <cell r="I894">
            <v>46.839680000000001</v>
          </cell>
        </row>
        <row r="903">
          <cell r="I903">
            <v>7.3111487999999998</v>
          </cell>
        </row>
        <row r="912">
          <cell r="I912">
            <v>276.06</v>
          </cell>
        </row>
        <row r="920">
          <cell r="I920">
            <v>40.44</v>
          </cell>
        </row>
        <row r="930">
          <cell r="I930">
            <v>154.07678000000001</v>
          </cell>
        </row>
        <row r="939">
          <cell r="I939">
            <v>116.37</v>
          </cell>
        </row>
        <row r="949">
          <cell r="I949">
            <v>303.2</v>
          </cell>
        </row>
        <row r="959">
          <cell r="I959">
            <v>48.442624999999992</v>
          </cell>
        </row>
        <row r="967">
          <cell r="I967">
            <v>671.7</v>
          </cell>
        </row>
        <row r="980">
          <cell r="I980">
            <v>32.81</v>
          </cell>
        </row>
        <row r="990">
          <cell r="I990">
            <v>294.43</v>
          </cell>
        </row>
        <row r="1000">
          <cell r="I1000">
            <v>457.15360000000004</v>
          </cell>
        </row>
        <row r="1009">
          <cell r="I1009">
            <v>569.94000000000005</v>
          </cell>
        </row>
        <row r="1019">
          <cell r="I1019">
            <v>37.327599999999997</v>
          </cell>
        </row>
        <row r="1027">
          <cell r="I1027">
            <v>135.51420000000002</v>
          </cell>
        </row>
        <row r="1037">
          <cell r="I1037">
            <v>131.48499999999999</v>
          </cell>
        </row>
        <row r="1046">
          <cell r="I1046">
            <v>15.98</v>
          </cell>
        </row>
        <row r="1056">
          <cell r="I1056">
            <v>2.74</v>
          </cell>
        </row>
        <row r="1064">
          <cell r="I1064">
            <v>120.39175800000001</v>
          </cell>
        </row>
        <row r="1075">
          <cell r="I1075">
            <v>2153.0117999999998</v>
          </cell>
        </row>
        <row r="1087">
          <cell r="I1087">
            <v>2914.6871999999994</v>
          </cell>
        </row>
        <row r="1097">
          <cell r="I1097">
            <v>1452.9035999999996</v>
          </cell>
        </row>
        <row r="1107">
          <cell r="I1107">
            <v>2769.5351999999998</v>
          </cell>
        </row>
        <row r="1117">
          <cell r="I1117">
            <v>1074.2539999999999</v>
          </cell>
        </row>
        <row r="1127">
          <cell r="I1127">
            <v>674.47440000000006</v>
          </cell>
        </row>
        <row r="1135">
          <cell r="I1135">
            <v>686.39159999999993</v>
          </cell>
        </row>
        <row r="1143">
          <cell r="I1143">
            <v>898.26440000000002</v>
          </cell>
        </row>
        <row r="1152">
          <cell r="I1152">
            <v>1090.63909352</v>
          </cell>
        </row>
        <row r="1162">
          <cell r="I1162">
            <v>1228.1524999999999</v>
          </cell>
        </row>
        <row r="1176">
          <cell r="I1176">
            <v>433.3064</v>
          </cell>
        </row>
        <row r="1183">
          <cell r="I1183">
            <v>804.05</v>
          </cell>
        </row>
        <row r="1190">
          <cell r="I1190">
            <v>41.57</v>
          </cell>
        </row>
        <row r="1198">
          <cell r="I1198">
            <v>299.33749999999998</v>
          </cell>
        </row>
        <row r="1207">
          <cell r="I1207">
            <v>106.65</v>
          </cell>
        </row>
        <row r="1216">
          <cell r="I1216">
            <v>684.08</v>
          </cell>
        </row>
        <row r="1228">
          <cell r="I1228">
            <v>930.93</v>
          </cell>
        </row>
        <row r="1237">
          <cell r="I1237">
            <v>530.13787420000006</v>
          </cell>
        </row>
        <row r="1246">
          <cell r="I1246">
            <v>2401.1328000000003</v>
          </cell>
        </row>
        <row r="1259">
          <cell r="I1259">
            <v>132.44999999999999</v>
          </cell>
        </row>
        <row r="1268">
          <cell r="I1268">
            <v>108.54</v>
          </cell>
        </row>
        <row r="1277">
          <cell r="I1277">
            <v>182.32</v>
          </cell>
        </row>
        <row r="1286">
          <cell r="I1286">
            <v>84.86</v>
          </cell>
        </row>
        <row r="1295">
          <cell r="I1295">
            <v>127.93</v>
          </cell>
        </row>
        <row r="1304">
          <cell r="I1304">
            <v>7.72</v>
          </cell>
        </row>
        <row r="1315">
          <cell r="I1315">
            <v>6.77</v>
          </cell>
        </row>
        <row r="1326">
          <cell r="I1326">
            <v>39.07</v>
          </cell>
        </row>
        <row r="1335">
          <cell r="I1335">
            <v>40.380000000000003</v>
          </cell>
        </row>
        <row r="1351">
          <cell r="I1351">
            <v>33.479999999999997</v>
          </cell>
        </row>
        <row r="1369">
          <cell r="I1369">
            <v>28.46</v>
          </cell>
        </row>
        <row r="1398">
          <cell r="I1398">
            <v>37.83</v>
          </cell>
        </row>
        <row r="1428">
          <cell r="I1428">
            <v>84.97</v>
          </cell>
        </row>
        <row r="1445">
          <cell r="I1445">
            <v>53.02</v>
          </cell>
        </row>
        <row r="1461">
          <cell r="I1461">
            <v>54.41</v>
          </cell>
        </row>
        <row r="1483">
          <cell r="I1483">
            <v>47.82</v>
          </cell>
        </row>
        <row r="1503">
          <cell r="I1503">
            <v>823.04</v>
          </cell>
        </row>
        <row r="1523">
          <cell r="I1523">
            <v>469.57</v>
          </cell>
        </row>
        <row r="1543">
          <cell r="I1543">
            <v>686.17</v>
          </cell>
        </row>
        <row r="1563">
          <cell r="I1563">
            <v>40.21</v>
          </cell>
        </row>
        <row r="1574">
          <cell r="I1574">
            <v>85.92</v>
          </cell>
        </row>
        <row r="1587">
          <cell r="I1587">
            <v>2116.0211249999998</v>
          </cell>
        </row>
        <row r="1614">
          <cell r="I1614">
            <v>10.09</v>
          </cell>
        </row>
        <row r="1623">
          <cell r="I1623">
            <v>88.79</v>
          </cell>
        </row>
        <row r="1632">
          <cell r="I1632">
            <v>129.68</v>
          </cell>
        </row>
        <row r="1641">
          <cell r="I1641">
            <v>6318.4359999999988</v>
          </cell>
        </row>
        <row r="1649">
          <cell r="I1649">
            <v>132.38999999999999</v>
          </cell>
        </row>
        <row r="1662">
          <cell r="I1662">
            <v>121.54</v>
          </cell>
        </row>
        <row r="1672">
          <cell r="I1672">
            <v>28.46</v>
          </cell>
        </row>
        <row r="1701">
          <cell r="I1701">
            <v>40.380000000000003</v>
          </cell>
        </row>
        <row r="1717">
          <cell r="I1717">
            <v>33.479999999999997</v>
          </cell>
        </row>
        <row r="1735">
          <cell r="I1735">
            <v>6318.4359999999988</v>
          </cell>
        </row>
        <row r="1743">
          <cell r="I1743">
            <v>1271.1199999999999</v>
          </cell>
        </row>
        <row r="1763">
          <cell r="I1763">
            <v>489.35</v>
          </cell>
        </row>
        <row r="1774">
          <cell r="I1774">
            <v>28.43</v>
          </cell>
        </row>
        <row r="1785">
          <cell r="I1785">
            <v>285.37</v>
          </cell>
        </row>
        <row r="1806">
          <cell r="I1806">
            <v>87.55</v>
          </cell>
        </row>
        <row r="1817">
          <cell r="I1817">
            <v>342.53</v>
          </cell>
        </row>
        <row r="1826">
          <cell r="I1826">
            <v>2288.2885255000006</v>
          </cell>
        </row>
        <row r="1853">
          <cell r="I1853">
            <v>1871.68</v>
          </cell>
        </row>
        <row r="1878">
          <cell r="I1878">
            <v>492.99</v>
          </cell>
        </row>
        <row r="1898">
          <cell r="I1898">
            <v>686.17</v>
          </cell>
        </row>
        <row r="1918">
          <cell r="I1918">
            <v>15.85</v>
          </cell>
        </row>
        <row r="1929">
          <cell r="I1929">
            <v>162.43</v>
          </cell>
        </row>
        <row r="1946">
          <cell r="I1946">
            <v>449.43</v>
          </cell>
        </row>
        <row r="1965">
          <cell r="I1965">
            <v>490.3</v>
          </cell>
        </row>
        <row r="1985">
          <cell r="I1985">
            <v>1180.7537999999997</v>
          </cell>
        </row>
        <row r="1998">
          <cell r="I1998">
            <v>73.94</v>
          </cell>
        </row>
        <row r="2009">
          <cell r="I2009">
            <v>2668.084625</v>
          </cell>
        </row>
        <row r="2035">
          <cell r="I2035">
            <v>1871.68</v>
          </cell>
        </row>
        <row r="2062">
          <cell r="I2062">
            <v>84.37</v>
          </cell>
        </row>
        <row r="2070">
          <cell r="I2070">
            <v>127.45674232729601</v>
          </cell>
        </row>
        <row r="2085">
          <cell r="I2085">
            <v>141.61326981252799</v>
          </cell>
        </row>
        <row r="2098">
          <cell r="I2098">
            <v>108.80750041424001</v>
          </cell>
        </row>
        <row r="2111">
          <cell r="I2111">
            <v>277.88519616119999</v>
          </cell>
        </row>
        <row r="2126">
          <cell r="I2126">
            <v>256.09326414399999</v>
          </cell>
        </row>
        <row r="2139">
          <cell r="I2139">
            <v>125.08</v>
          </cell>
        </row>
        <row r="2148">
          <cell r="I2148">
            <v>289.56800000000004</v>
          </cell>
        </row>
        <row r="2157">
          <cell r="I2157">
            <v>490.65</v>
          </cell>
        </row>
        <row r="2166">
          <cell r="I2166">
            <v>514.78</v>
          </cell>
        </row>
        <row r="2175">
          <cell r="I2175">
            <v>481.60399999999998</v>
          </cell>
        </row>
        <row r="2184">
          <cell r="I2184">
            <v>62.6</v>
          </cell>
        </row>
        <row r="2193">
          <cell r="I2193">
            <v>92.96</v>
          </cell>
        </row>
        <row r="2202">
          <cell r="I2202">
            <v>893.41</v>
          </cell>
        </row>
        <row r="2208">
          <cell r="I2208">
            <v>763.36</v>
          </cell>
        </row>
        <row r="2214">
          <cell r="I2214">
            <v>581.22</v>
          </cell>
        </row>
        <row r="2220">
          <cell r="I2220">
            <v>19.36</v>
          </cell>
        </row>
        <row r="2226">
          <cell r="I2226">
            <v>283.33</v>
          </cell>
        </row>
        <row r="2233">
          <cell r="I2233">
            <v>29.39</v>
          </cell>
        </row>
        <row r="2241">
          <cell r="I2241">
            <v>5.27</v>
          </cell>
        </row>
        <row r="2249">
          <cell r="I2249">
            <v>12.22</v>
          </cell>
        </row>
        <row r="2257">
          <cell r="I2257">
            <v>15.85</v>
          </cell>
        </row>
        <row r="2265">
          <cell r="I2265">
            <v>394.86</v>
          </cell>
        </row>
        <row r="2275">
          <cell r="I2275">
            <v>345.39</v>
          </cell>
        </row>
        <row r="2282">
          <cell r="I2282">
            <v>71.59</v>
          </cell>
        </row>
        <row r="2291">
          <cell r="I2291">
            <v>71.59</v>
          </cell>
        </row>
        <row r="2300">
          <cell r="I2300">
            <v>1115.04</v>
          </cell>
        </row>
        <row r="2307">
          <cell r="I2307">
            <v>75.349999999999994</v>
          </cell>
        </row>
        <row r="2316">
          <cell r="I2316">
            <v>81.02</v>
          </cell>
        </row>
        <row r="2325">
          <cell r="I2325">
            <v>88.46</v>
          </cell>
        </row>
        <row r="2334">
          <cell r="I2334">
            <v>66.66</v>
          </cell>
        </row>
        <row r="2340">
          <cell r="I2340">
            <v>97.34</v>
          </cell>
        </row>
        <row r="2346">
          <cell r="I2346">
            <v>3140.8240000000005</v>
          </cell>
        </row>
        <row r="2353">
          <cell r="I2353">
            <v>53.53</v>
          </cell>
        </row>
        <row r="2362">
          <cell r="I2362">
            <v>54.52</v>
          </cell>
        </row>
        <row r="2371">
          <cell r="I2371">
            <v>56.63</v>
          </cell>
        </row>
        <row r="2380">
          <cell r="I2380">
            <v>56.63</v>
          </cell>
        </row>
        <row r="2389">
          <cell r="I2389">
            <v>59.14</v>
          </cell>
        </row>
        <row r="2398">
          <cell r="I2398">
            <v>62.18</v>
          </cell>
        </row>
        <row r="2407">
          <cell r="I2407">
            <v>67.150000000000006</v>
          </cell>
        </row>
        <row r="2416">
          <cell r="I2416">
            <v>10.92</v>
          </cell>
        </row>
        <row r="2425">
          <cell r="I2425">
            <v>11.4</v>
          </cell>
        </row>
        <row r="2434">
          <cell r="I2434">
            <v>12.46</v>
          </cell>
        </row>
        <row r="2443">
          <cell r="I2443">
            <v>12.46</v>
          </cell>
        </row>
        <row r="2452">
          <cell r="I2452">
            <v>13.71</v>
          </cell>
        </row>
        <row r="2461">
          <cell r="I2461">
            <v>19.7</v>
          </cell>
        </row>
        <row r="2470">
          <cell r="I2470">
            <v>143.80000000000001</v>
          </cell>
        </row>
        <row r="2480">
          <cell r="I2480">
            <v>139.41999999999999</v>
          </cell>
        </row>
        <row r="2486">
          <cell r="I2486">
            <v>122.36</v>
          </cell>
        </row>
        <row r="2493">
          <cell r="I2493">
            <v>5.97</v>
          </cell>
        </row>
        <row r="2500">
          <cell r="I2500">
            <v>52.65</v>
          </cell>
        </row>
        <row r="2507">
          <cell r="I2507">
            <v>38.862104999999993</v>
          </cell>
        </row>
        <row r="2516">
          <cell r="I2516">
            <v>53.746579999999987</v>
          </cell>
        </row>
        <row r="2525">
          <cell r="I2525">
            <v>69.454714999999993</v>
          </cell>
        </row>
        <row r="2534">
          <cell r="I2534">
            <v>90.193189999999987</v>
          </cell>
        </row>
        <row r="2543">
          <cell r="I2543">
            <v>133.68797999999998</v>
          </cell>
        </row>
        <row r="2552">
          <cell r="I2552">
            <v>176.94013299999995</v>
          </cell>
        </row>
        <row r="2561">
          <cell r="I2561">
            <v>228.71202099999994</v>
          </cell>
        </row>
        <row r="2570">
          <cell r="I2570">
            <v>79.560444999999987</v>
          </cell>
        </row>
        <row r="2578">
          <cell r="I2578">
            <v>92.62</v>
          </cell>
        </row>
        <row r="2587">
          <cell r="I2587">
            <v>121.97</v>
          </cell>
        </row>
        <row r="2596">
          <cell r="I2596">
            <v>101.31</v>
          </cell>
        </row>
        <row r="2605">
          <cell r="I2605">
            <v>37.700000000000003</v>
          </cell>
        </row>
        <row r="2614">
          <cell r="I2614">
            <v>35.020000000000003</v>
          </cell>
        </row>
        <row r="2623">
          <cell r="I2623">
            <v>25.14</v>
          </cell>
        </row>
        <row r="2631">
          <cell r="I2631">
            <v>63.84</v>
          </cell>
        </row>
        <row r="2639">
          <cell r="I2639">
            <v>1.1399999999999999</v>
          </cell>
        </row>
        <row r="2645">
          <cell r="I2645">
            <v>8.3699999999999992</v>
          </cell>
        </row>
        <row r="2652">
          <cell r="I2652">
            <v>2242.6764000000003</v>
          </cell>
        </row>
        <row r="2679">
          <cell r="I2679">
            <v>507.29</v>
          </cell>
        </row>
        <row r="2688">
          <cell r="I2688">
            <v>1255.7216600000002</v>
          </cell>
        </row>
        <row r="2703">
          <cell r="I2703">
            <v>42597.580799999996</v>
          </cell>
        </row>
        <row r="2713">
          <cell r="I2713">
            <v>71.73</v>
          </cell>
        </row>
        <row r="2721">
          <cell r="I2721">
            <v>12.12</v>
          </cell>
        </row>
        <row r="2729">
          <cell r="I2729">
            <v>2272.9499999999998</v>
          </cell>
        </row>
        <row r="2735">
          <cell r="I2735">
            <v>5.22</v>
          </cell>
        </row>
        <row r="2741">
          <cell r="I2741">
            <v>6.5</v>
          </cell>
        </row>
        <row r="2747">
          <cell r="I2747">
            <v>90.31</v>
          </cell>
        </row>
        <row r="2754">
          <cell r="I2754">
            <v>14.2</v>
          </cell>
        </row>
        <row r="2762">
          <cell r="I2762">
            <v>59.17</v>
          </cell>
        </row>
        <row r="2770">
          <cell r="I2770">
            <v>17.71</v>
          </cell>
        </row>
        <row r="2778">
          <cell r="I2778">
            <v>81.53</v>
          </cell>
        </row>
        <row r="2786">
          <cell r="I2786">
            <v>46.02</v>
          </cell>
        </row>
        <row r="2795">
          <cell r="I2795">
            <v>2.94</v>
          </cell>
        </row>
        <row r="2801">
          <cell r="I2801">
            <v>12.83</v>
          </cell>
        </row>
        <row r="2808">
          <cell r="I2808">
            <v>92.13</v>
          </cell>
        </row>
        <row r="2816">
          <cell r="I2816">
            <v>74.23</v>
          </cell>
        </row>
        <row r="2824">
          <cell r="I2824">
            <v>106.74677000000001</v>
          </cell>
        </row>
        <row r="2832">
          <cell r="I2832">
            <v>77.61</v>
          </cell>
        </row>
        <row r="2840">
          <cell r="I2840">
            <v>38.29</v>
          </cell>
        </row>
        <row r="2848">
          <cell r="I2848">
            <v>58.06</v>
          </cell>
        </row>
        <row r="2856">
          <cell r="I2856">
            <v>77.61</v>
          </cell>
        </row>
        <row r="2864">
          <cell r="I2864">
            <v>53.175640000000001</v>
          </cell>
        </row>
        <row r="2872">
          <cell r="I2872">
            <v>97.66</v>
          </cell>
        </row>
        <row r="2880">
          <cell r="I2880">
            <v>116.66</v>
          </cell>
        </row>
        <row r="2888">
          <cell r="I2888">
            <v>86.1</v>
          </cell>
        </row>
        <row r="2896">
          <cell r="I2896">
            <v>118.35817999999999</v>
          </cell>
        </row>
        <row r="2904">
          <cell r="I2904">
            <v>42.957740000000001</v>
          </cell>
        </row>
        <row r="2912">
          <cell r="I2912">
            <v>49.756839999999997</v>
          </cell>
        </row>
        <row r="2920">
          <cell r="I2920">
            <v>39.515839999999997</v>
          </cell>
        </row>
        <row r="2928">
          <cell r="I2928">
            <v>21.201599999999999</v>
          </cell>
        </row>
        <row r="2936">
          <cell r="I2936">
            <v>28.04</v>
          </cell>
        </row>
        <row r="2943">
          <cell r="I2943">
            <v>156391.79679999998</v>
          </cell>
        </row>
        <row r="2949">
          <cell r="I2949">
            <v>54741.196399999993</v>
          </cell>
        </row>
        <row r="2955">
          <cell r="I2955">
            <v>8674.9599999999991</v>
          </cell>
        </row>
        <row r="2962">
          <cell r="I2962">
            <v>154258.226</v>
          </cell>
        </row>
        <row r="2976">
          <cell r="I2976">
            <v>79.788006999999993</v>
          </cell>
        </row>
        <row r="2984">
          <cell r="I2984">
            <v>117.78</v>
          </cell>
        </row>
        <row r="2994">
          <cell r="I2994">
            <v>157.97999999999999</v>
          </cell>
        </row>
        <row r="3004">
          <cell r="I3004">
            <v>1680.7386000000001</v>
          </cell>
        </row>
        <row r="3018">
          <cell r="I3018">
            <v>217.65</v>
          </cell>
        </row>
        <row r="3027">
          <cell r="I3027">
            <v>917.04</v>
          </cell>
        </row>
        <row r="3036">
          <cell r="I3036">
            <v>234.45359999999999</v>
          </cell>
        </row>
        <row r="3045">
          <cell r="I3045">
            <v>4697.34</v>
          </cell>
        </row>
        <row r="3072">
          <cell r="I3072">
            <v>147.79</v>
          </cell>
        </row>
        <row r="3080">
          <cell r="I3080">
            <v>763.63</v>
          </cell>
        </row>
        <row r="3086">
          <cell r="I3086">
            <v>3105.37</v>
          </cell>
        </row>
        <row r="3093">
          <cell r="I3093">
            <v>80.25</v>
          </cell>
        </row>
        <row r="3101">
          <cell r="I3101">
            <v>109.96559999999999</v>
          </cell>
        </row>
        <row r="3108">
          <cell r="I3108">
            <v>141.75799999999998</v>
          </cell>
        </row>
        <row r="3116">
          <cell r="I3116">
            <v>208.51999999999998</v>
          </cell>
        </row>
        <row r="3124">
          <cell r="I3124">
            <v>156.74</v>
          </cell>
        </row>
        <row r="3132">
          <cell r="I3132">
            <v>127.93</v>
          </cell>
        </row>
        <row r="3139">
          <cell r="I3139">
            <v>2.97</v>
          </cell>
        </row>
        <row r="3146">
          <cell r="I3146">
            <v>11.66</v>
          </cell>
        </row>
        <row r="3154">
          <cell r="I3154">
            <v>510.97</v>
          </cell>
        </row>
        <row r="3166">
          <cell r="I3166">
            <v>1962.65</v>
          </cell>
        </row>
        <row r="3177">
          <cell r="I3177">
            <v>139.25608</v>
          </cell>
        </row>
        <row r="3188">
          <cell r="I3188">
            <v>112.13999999999999</v>
          </cell>
        </row>
        <row r="3196">
          <cell r="I3196">
            <v>16.2</v>
          </cell>
        </row>
        <row r="3204">
          <cell r="I3204">
            <v>32.949999999999996</v>
          </cell>
        </row>
        <row r="3212">
          <cell r="I3212">
            <v>47.84</v>
          </cell>
        </row>
        <row r="3219">
          <cell r="I3219">
            <v>11.866655999999999</v>
          </cell>
        </row>
        <row r="3227">
          <cell r="I3227">
            <v>4.9367600000000005</v>
          </cell>
        </row>
        <row r="3235">
          <cell r="I3235">
            <v>97.37</v>
          </cell>
        </row>
        <row r="3242">
          <cell r="I3242">
            <v>25.2</v>
          </cell>
        </row>
        <row r="3248">
          <cell r="I3248">
            <v>29.91752</v>
          </cell>
        </row>
        <row r="3256">
          <cell r="I3256">
            <v>77.601140000000001</v>
          </cell>
        </row>
        <row r="3265">
          <cell r="I3265">
            <v>1.55</v>
          </cell>
        </row>
        <row r="3272">
          <cell r="I3272">
            <v>227.81</v>
          </cell>
        </row>
        <row r="3281">
          <cell r="I3281">
            <v>93.64</v>
          </cell>
        </row>
        <row r="3288">
          <cell r="I3288">
            <v>144.41999999999999</v>
          </cell>
        </row>
        <row r="3297">
          <cell r="I3297">
            <v>1.62</v>
          </cell>
        </row>
        <row r="3304">
          <cell r="I3304">
            <v>113.83</v>
          </cell>
        </row>
        <row r="3314">
          <cell r="I3314">
            <v>490.52</v>
          </cell>
        </row>
        <row r="3322">
          <cell r="I3322">
            <v>10.24</v>
          </cell>
        </row>
        <row r="3331">
          <cell r="I3331">
            <v>2.63</v>
          </cell>
        </row>
        <row r="3338">
          <cell r="I3338">
            <v>7.34</v>
          </cell>
        </row>
        <row r="3345">
          <cell r="I3345">
            <v>84.77</v>
          </cell>
        </row>
        <row r="3352">
          <cell r="I3352">
            <v>568.28</v>
          </cell>
        </row>
        <row r="3360">
          <cell r="I3360">
            <v>12.65</v>
          </cell>
        </row>
        <row r="3370">
          <cell r="I3370">
            <v>13.29</v>
          </cell>
        </row>
        <row r="3380">
          <cell r="I3380">
            <v>624.55999999999995</v>
          </cell>
        </row>
        <row r="3390">
          <cell r="I3390">
            <v>167.33</v>
          </cell>
        </row>
        <row r="3400">
          <cell r="J3400">
            <v>206.87</v>
          </cell>
        </row>
        <row r="3403">
          <cell r="I3403">
            <v>639.05999999999995</v>
          </cell>
        </row>
        <row r="3411">
          <cell r="J3411">
            <v>790.06</v>
          </cell>
        </row>
        <row r="3415">
          <cell r="I3415">
            <v>2.74</v>
          </cell>
        </row>
        <row r="3433">
          <cell r="I3433">
            <v>62.14</v>
          </cell>
        </row>
        <row r="3448">
          <cell r="I3448">
            <v>42.08</v>
          </cell>
        </row>
        <row r="3458">
          <cell r="I3458">
            <v>2509.83</v>
          </cell>
        </row>
        <row r="3475">
          <cell r="I3475">
            <v>21.23</v>
          </cell>
        </row>
        <row r="3483">
          <cell r="I3483">
            <v>431.82557899999995</v>
          </cell>
        </row>
        <row r="3495">
          <cell r="I3495">
            <v>462.24</v>
          </cell>
        </row>
        <row r="3503">
          <cell r="I3503">
            <v>117.43</v>
          </cell>
        </row>
        <row r="3512">
          <cell r="I3512">
            <v>234.54787420000002</v>
          </cell>
        </row>
        <row r="3524">
          <cell r="I3524">
            <v>217.88</v>
          </cell>
        </row>
        <row r="3532">
          <cell r="I3532">
            <v>129.68</v>
          </cell>
        </row>
        <row r="3542">
          <cell r="I3542">
            <v>915.49</v>
          </cell>
        </row>
        <row r="3550">
          <cell r="I3550">
            <v>799.93</v>
          </cell>
        </row>
        <row r="3558">
          <cell r="I3558">
            <v>224.66</v>
          </cell>
        </row>
        <row r="3568">
          <cell r="I3568">
            <v>439.14629999999994</v>
          </cell>
        </row>
        <row r="3582">
          <cell r="I3582">
            <v>556.15</v>
          </cell>
        </row>
        <row r="3593">
          <cell r="I3593">
            <v>3.73</v>
          </cell>
        </row>
        <row r="3601">
          <cell r="I3601">
            <v>68.2</v>
          </cell>
        </row>
        <row r="3609">
          <cell r="I3609">
            <v>3.5169600000000001</v>
          </cell>
        </row>
        <row r="3618">
          <cell r="I3618">
            <v>14.465938911999999</v>
          </cell>
        </row>
        <row r="3627">
          <cell r="I3627">
            <v>9.5299999999999994</v>
          </cell>
        </row>
        <row r="3635">
          <cell r="I3635">
            <v>38.657279999999993</v>
          </cell>
        </row>
        <row r="3643">
          <cell r="I3643">
            <v>40.98</v>
          </cell>
        </row>
        <row r="3651">
          <cell r="I3651">
            <v>2.8675000000000002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lanilha Final"/>
      <sheetName val="RESUMO MEM."/>
      <sheetName val="2.0"/>
      <sheetName val="3.0"/>
      <sheetName val="4.0"/>
      <sheetName val="5.0"/>
      <sheetName val="24.0"/>
      <sheetName val="Planilha Final (2)"/>
    </sheetNames>
    <sheetDataSet>
      <sheetData sheetId="0"/>
      <sheetData sheetId="1">
        <row r="15">
          <cell r="E15">
            <v>31.439999999999998</v>
          </cell>
        </row>
      </sheetData>
      <sheetData sheetId="2"/>
      <sheetData sheetId="3"/>
      <sheetData sheetId="4"/>
      <sheetData sheetId="5"/>
      <sheetData sheetId="6">
        <row r="37">
          <cell r="E37">
            <v>45.8</v>
          </cell>
        </row>
        <row r="46">
          <cell r="E46">
            <v>445.47779000000003</v>
          </cell>
        </row>
      </sheetData>
      <sheetData sheetId="7"/>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1E0BD-FD8D-4CB5-8767-C78642668AA4}">
  <dimension ref="A1:N439"/>
  <sheetViews>
    <sheetView showGridLines="0" showOutlineSymbols="0" showWhiteSpace="0" view="pageBreakPreview" topLeftCell="A4" zoomScale="80" zoomScaleNormal="100" zoomScaleSheetLayoutView="80" workbookViewId="0">
      <selection activeCell="A5" sqref="A5:G5"/>
    </sheetView>
  </sheetViews>
  <sheetFormatPr defaultColWidth="8.875" defaultRowHeight="14.25" x14ac:dyDescent="0.2"/>
  <cols>
    <col min="1" max="1" width="13.875" style="2" customWidth="1"/>
    <col min="2" max="2" width="60" style="2" bestFit="1" customWidth="1"/>
    <col min="3" max="3" width="6.625" style="2" customWidth="1"/>
    <col min="4" max="4" width="10.375" style="2" customWidth="1"/>
    <col min="5" max="5" width="6" style="2" hidden="1" customWidth="1"/>
    <col min="6" max="6" width="13" style="2" bestFit="1" customWidth="1"/>
    <col min="7" max="7" width="13.25" style="2" customWidth="1"/>
    <col min="8" max="8" width="11.75" style="2" customWidth="1"/>
    <col min="9" max="9" width="11.25" style="2" customWidth="1"/>
    <col min="10" max="10" width="13" style="2" customWidth="1"/>
    <col min="11" max="11" width="12" style="2" customWidth="1"/>
    <col min="12" max="12" width="11.875" style="2" customWidth="1"/>
    <col min="13" max="13" width="12.625" style="2" customWidth="1"/>
    <col min="14" max="16384" width="8.875" style="2"/>
  </cols>
  <sheetData>
    <row r="1" spans="1:14" ht="15" customHeight="1" x14ac:dyDescent="0.2">
      <c r="A1" s="178"/>
      <c r="B1" s="1"/>
      <c r="C1" s="179"/>
      <c r="D1" s="179"/>
      <c r="E1" s="179"/>
      <c r="F1" s="179"/>
      <c r="G1" s="1"/>
      <c r="H1" s="1"/>
      <c r="I1" s="1"/>
      <c r="J1" s="1"/>
      <c r="K1" s="1"/>
      <c r="L1" s="1"/>
      <c r="M1" s="1"/>
    </row>
    <row r="2" spans="1:14" ht="80.099999999999994" customHeight="1" x14ac:dyDescent="0.2">
      <c r="A2" s="178"/>
      <c r="B2" s="3"/>
      <c r="C2" s="180"/>
      <c r="D2" s="180"/>
      <c r="E2" s="181"/>
      <c r="F2" s="181"/>
      <c r="G2" s="3"/>
      <c r="H2" s="3"/>
      <c r="I2" s="3"/>
      <c r="J2" s="3"/>
      <c r="K2" s="3"/>
      <c r="L2" s="3"/>
      <c r="M2" s="3"/>
    </row>
    <row r="3" spans="1:14" s="4" customFormat="1" ht="18" customHeight="1" x14ac:dyDescent="0.2">
      <c r="A3" s="182" t="s">
        <v>0</v>
      </c>
      <c r="B3" s="183"/>
      <c r="C3" s="183"/>
      <c r="D3" s="183"/>
      <c r="E3" s="183"/>
      <c r="F3" s="183"/>
      <c r="G3" s="184"/>
      <c r="H3" s="185" t="s">
        <v>1</v>
      </c>
      <c r="I3" s="186"/>
      <c r="J3" s="186"/>
      <c r="K3" s="187">
        <f>G435</f>
        <v>21389181.107551087</v>
      </c>
      <c r="L3" s="187"/>
      <c r="M3" s="187"/>
    </row>
    <row r="4" spans="1:14" s="4" customFormat="1" ht="18.75" customHeight="1" x14ac:dyDescent="0.2">
      <c r="A4" s="166" t="s">
        <v>2</v>
      </c>
      <c r="B4" s="167"/>
      <c r="C4" s="167"/>
      <c r="D4" s="167"/>
      <c r="E4" s="167"/>
      <c r="F4" s="167"/>
      <c r="G4" s="168"/>
      <c r="H4" s="169" t="s">
        <v>3</v>
      </c>
      <c r="I4" s="170"/>
      <c r="J4" s="170"/>
      <c r="K4" s="171">
        <f>K435</f>
        <v>7995637.0454417588</v>
      </c>
      <c r="L4" s="171"/>
      <c r="M4" s="171"/>
    </row>
    <row r="5" spans="1:14" s="4" customFormat="1" ht="18.75" customHeight="1" x14ac:dyDescent="0.2">
      <c r="A5" s="166" t="s">
        <v>4</v>
      </c>
      <c r="B5" s="167"/>
      <c r="C5" s="167"/>
      <c r="D5" s="167"/>
      <c r="E5" s="167"/>
      <c r="F5" s="167"/>
      <c r="G5" s="168"/>
      <c r="H5" s="169" t="s">
        <v>5</v>
      </c>
      <c r="I5" s="170"/>
      <c r="J5" s="170"/>
      <c r="K5" s="171">
        <f>L435</f>
        <v>2090584.5331667576</v>
      </c>
      <c r="L5" s="171"/>
      <c r="M5" s="171"/>
    </row>
    <row r="6" spans="1:14" s="4" customFormat="1" ht="17.25" customHeight="1" x14ac:dyDescent="0.2">
      <c r="A6" s="166" t="s">
        <v>6</v>
      </c>
      <c r="B6" s="167"/>
      <c r="C6" s="167"/>
      <c r="D6" s="167"/>
      <c r="E6" s="167"/>
      <c r="F6" s="167"/>
      <c r="G6" s="168"/>
      <c r="H6" s="169" t="s">
        <v>7</v>
      </c>
      <c r="I6" s="170"/>
      <c r="J6" s="170"/>
      <c r="K6" s="171">
        <f>M435</f>
        <v>10086221.548608517</v>
      </c>
      <c r="L6" s="171"/>
      <c r="M6" s="171"/>
    </row>
    <row r="7" spans="1:14" ht="19.5" customHeight="1" x14ac:dyDescent="0.2">
      <c r="A7" s="172" t="s">
        <v>8</v>
      </c>
      <c r="B7" s="173"/>
      <c r="C7" s="173"/>
      <c r="D7" s="173"/>
      <c r="E7" s="173"/>
      <c r="F7" s="173"/>
      <c r="G7" s="174"/>
      <c r="H7" s="175" t="s">
        <v>9</v>
      </c>
      <c r="I7" s="176"/>
      <c r="J7" s="176"/>
      <c r="K7" s="177">
        <f>K3-K6</f>
        <v>11302959.558942569</v>
      </c>
      <c r="L7" s="177"/>
      <c r="M7" s="177"/>
    </row>
    <row r="8" spans="1:14" ht="26.25" customHeight="1" x14ac:dyDescent="0.2">
      <c r="A8" s="159" t="s">
        <v>844</v>
      </c>
      <c r="B8" s="160"/>
      <c r="C8" s="160"/>
      <c r="D8" s="160"/>
      <c r="E8" s="160"/>
      <c r="F8" s="160"/>
      <c r="G8" s="161"/>
      <c r="H8" s="162" t="s">
        <v>843</v>
      </c>
      <c r="I8" s="162"/>
      <c r="J8" s="162"/>
      <c r="K8" s="162"/>
      <c r="L8" s="162"/>
      <c r="M8" s="162"/>
    </row>
    <row r="9" spans="1:14" ht="24.75" customHeight="1" x14ac:dyDescent="0.2">
      <c r="A9" s="163" t="s">
        <v>10</v>
      </c>
      <c r="B9" s="163"/>
      <c r="C9" s="163"/>
      <c r="D9" s="163"/>
      <c r="E9" s="163"/>
      <c r="F9" s="163"/>
      <c r="G9" s="163"/>
      <c r="H9" s="163"/>
      <c r="I9" s="163"/>
      <c r="J9" s="163"/>
      <c r="K9" s="163"/>
      <c r="L9" s="163"/>
      <c r="M9" s="163"/>
    </row>
    <row r="10" spans="1:14" ht="15" x14ac:dyDescent="0.2">
      <c r="A10" s="5"/>
    </row>
    <row r="11" spans="1:14" ht="21.75" customHeight="1" x14ac:dyDescent="0.2">
      <c r="A11" s="164" t="s">
        <v>11</v>
      </c>
      <c r="B11" s="164" t="s">
        <v>12</v>
      </c>
      <c r="C11" s="164" t="s">
        <v>13</v>
      </c>
      <c r="D11" s="165" t="s">
        <v>14</v>
      </c>
      <c r="E11" s="165"/>
      <c r="F11" s="165"/>
      <c r="G11" s="165"/>
      <c r="H11" s="165" t="s">
        <v>15</v>
      </c>
      <c r="I11" s="165"/>
      <c r="J11" s="165"/>
      <c r="K11" s="165" t="s">
        <v>16</v>
      </c>
      <c r="L11" s="165"/>
      <c r="M11" s="165"/>
    </row>
    <row r="12" spans="1:14" ht="30" customHeight="1" x14ac:dyDescent="0.2">
      <c r="A12" s="164"/>
      <c r="B12" s="164"/>
      <c r="C12" s="164"/>
      <c r="D12" s="6" t="s">
        <v>17</v>
      </c>
      <c r="E12" s="6" t="s">
        <v>18</v>
      </c>
      <c r="F12" s="6" t="s">
        <v>19</v>
      </c>
      <c r="G12" s="6" t="s">
        <v>20</v>
      </c>
      <c r="H12" s="6" t="s">
        <v>21</v>
      </c>
      <c r="I12" s="6" t="s">
        <v>22</v>
      </c>
      <c r="J12" s="6" t="s">
        <v>23</v>
      </c>
      <c r="K12" s="6" t="s">
        <v>21</v>
      </c>
      <c r="L12" s="6" t="s">
        <v>22</v>
      </c>
      <c r="M12" s="6" t="s">
        <v>23</v>
      </c>
      <c r="N12" s="60" t="s">
        <v>830</v>
      </c>
    </row>
    <row r="13" spans="1:14" ht="24" customHeight="1" x14ac:dyDescent="0.2">
      <c r="A13" s="7" t="s">
        <v>24</v>
      </c>
      <c r="B13" s="7" t="s">
        <v>25</v>
      </c>
      <c r="C13" s="7"/>
      <c r="D13" s="8"/>
      <c r="E13" s="7"/>
      <c r="F13" s="7"/>
      <c r="G13" s="10">
        <f t="shared" ref="G13" si="0">SUM(G14:G17)</f>
        <v>722837.82517100009</v>
      </c>
      <c r="H13" s="8"/>
      <c r="I13" s="9"/>
      <c r="J13" s="10"/>
      <c r="K13" s="10">
        <f t="shared" ref="K13:L13" si="1">SUM(K14:K17)</f>
        <v>513905.26517099992</v>
      </c>
      <c r="L13" s="10">
        <f t="shared" si="1"/>
        <v>60771.42</v>
      </c>
      <c r="M13" s="10">
        <f>SUM(M14:M17)</f>
        <v>574676.68517100008</v>
      </c>
      <c r="N13" s="61">
        <f>M13/G13</f>
        <v>0.79502851837485145</v>
      </c>
    </row>
    <row r="14" spans="1:14" ht="16.5" customHeight="1" x14ac:dyDescent="0.2">
      <c r="A14" s="11" t="s">
        <v>26</v>
      </c>
      <c r="B14" s="11" t="s">
        <v>27</v>
      </c>
      <c r="C14" s="12" t="s">
        <v>28</v>
      </c>
      <c r="D14" s="13">
        <v>11</v>
      </c>
      <c r="E14" s="14">
        <f>[1]CPUs!I6</f>
        <v>49155.89</v>
      </c>
      <c r="F14" s="14">
        <v>60771.42</v>
      </c>
      <c r="G14" s="14">
        <f>D14*F14</f>
        <v>668485.62</v>
      </c>
      <c r="H14" s="15">
        <v>8</v>
      </c>
      <c r="I14" s="13">
        <f>'RESUMO MEM.'!E18</f>
        <v>1</v>
      </c>
      <c r="J14" s="13">
        <f>H14+I14</f>
        <v>9</v>
      </c>
      <c r="K14" s="13">
        <f>H14*F14</f>
        <v>486171.36</v>
      </c>
      <c r="L14" s="13">
        <f>I14*F14</f>
        <v>60771.42</v>
      </c>
      <c r="M14" s="13">
        <f>J14*F14</f>
        <v>546942.78</v>
      </c>
      <c r="N14" s="62">
        <f>M14/G14</f>
        <v>0.81818181818181823</v>
      </c>
    </row>
    <row r="15" spans="1:14" ht="34.5" customHeight="1" x14ac:dyDescent="0.2">
      <c r="A15" s="11" t="s">
        <v>29</v>
      </c>
      <c r="B15" s="11" t="s">
        <v>30</v>
      </c>
      <c r="C15" s="12" t="s">
        <v>31</v>
      </c>
      <c r="D15" s="13">
        <v>18</v>
      </c>
      <c r="E15" s="14">
        <f>[1]CPUs!I17</f>
        <v>312.24</v>
      </c>
      <c r="F15" s="14">
        <v>386.02</v>
      </c>
      <c r="G15" s="14">
        <f t="shared" ref="G15:G17" si="2">D15*F15</f>
        <v>6948.36</v>
      </c>
      <c r="H15" s="15">
        <v>18</v>
      </c>
      <c r="I15" s="13">
        <v>0</v>
      </c>
      <c r="J15" s="13">
        <f>H15+I15</f>
        <v>18</v>
      </c>
      <c r="K15" s="13">
        <f>H15*F15</f>
        <v>6948.36</v>
      </c>
      <c r="L15" s="13">
        <f>I15*F15</f>
        <v>0</v>
      </c>
      <c r="M15" s="13">
        <f>J15*F15</f>
        <v>6948.36</v>
      </c>
      <c r="N15" s="62">
        <f t="shared" ref="N15:N17" si="3">M15/G15</f>
        <v>1</v>
      </c>
    </row>
    <row r="16" spans="1:14" ht="17.25" customHeight="1" x14ac:dyDescent="0.2">
      <c r="A16" s="11" t="s">
        <v>32</v>
      </c>
      <c r="B16" s="11" t="s">
        <v>33</v>
      </c>
      <c r="C16" s="12" t="s">
        <v>28</v>
      </c>
      <c r="D16" s="13">
        <v>1</v>
      </c>
      <c r="E16" s="14">
        <f>[1]CPUs!I29</f>
        <v>254.59</v>
      </c>
      <c r="F16" s="14">
        <v>294.53517099999999</v>
      </c>
      <c r="G16" s="14">
        <f t="shared" si="2"/>
        <v>294.53517099999999</v>
      </c>
      <c r="H16" s="15">
        <v>1</v>
      </c>
      <c r="I16" s="13">
        <v>0</v>
      </c>
      <c r="J16" s="13">
        <f>H16+I16</f>
        <v>1</v>
      </c>
      <c r="K16" s="13">
        <f>(H16*F16)</f>
        <v>294.53517099999999</v>
      </c>
      <c r="L16" s="13">
        <f>I16*F16</f>
        <v>0</v>
      </c>
      <c r="M16" s="13">
        <f>(J16*F16)</f>
        <v>294.53517099999999</v>
      </c>
      <c r="N16" s="62">
        <f t="shared" si="3"/>
        <v>1</v>
      </c>
    </row>
    <row r="17" spans="1:14" ht="16.5" customHeight="1" x14ac:dyDescent="0.2">
      <c r="A17" s="11" t="s">
        <v>34</v>
      </c>
      <c r="B17" s="11" t="s">
        <v>35</v>
      </c>
      <c r="C17" s="12" t="s">
        <v>13</v>
      </c>
      <c r="D17" s="13">
        <v>1</v>
      </c>
      <c r="E17" s="14">
        <f>[1]CPUs!I35</f>
        <v>38105.08</v>
      </c>
      <c r="F17" s="14">
        <v>47109.31</v>
      </c>
      <c r="G17" s="14">
        <f t="shared" si="2"/>
        <v>47109.31</v>
      </c>
      <c r="H17" s="13">
        <v>0.43496731325506499</v>
      </c>
      <c r="I17" s="13">
        <v>0</v>
      </c>
      <c r="J17" s="13">
        <f>H17+I17</f>
        <v>0.43496731325506499</v>
      </c>
      <c r="K17" s="13">
        <f>H17*F17</f>
        <v>20491.009999999966</v>
      </c>
      <c r="L17" s="13">
        <f>I17*F17</f>
        <v>0</v>
      </c>
      <c r="M17" s="13">
        <f>J17*F17</f>
        <v>20491.009999999966</v>
      </c>
      <c r="N17" s="62">
        <f t="shared" si="3"/>
        <v>0.43496731325506499</v>
      </c>
    </row>
    <row r="18" spans="1:14" ht="24" customHeight="1" x14ac:dyDescent="0.2">
      <c r="A18" s="16" t="s">
        <v>36</v>
      </c>
      <c r="B18" s="16" t="s">
        <v>37</v>
      </c>
      <c r="C18" s="16"/>
      <c r="D18" s="17"/>
      <c r="E18" s="16"/>
      <c r="F18" s="16"/>
      <c r="G18" s="18">
        <f>SUM(G19:G25)</f>
        <v>73693.595420809346</v>
      </c>
      <c r="H18" s="17"/>
      <c r="I18" s="19"/>
      <c r="J18" s="20"/>
      <c r="K18" s="20">
        <f>SUM(K19:K25)-0.01</f>
        <v>61700.027169910907</v>
      </c>
      <c r="L18" s="20">
        <f>SUM(L19:L25)</f>
        <v>11993.53825089842</v>
      </c>
      <c r="M18" s="20">
        <f>SUM(M19:M25)-0.01</f>
        <v>73693.565420809333</v>
      </c>
      <c r="N18" s="61">
        <f>M18/G18</f>
        <v>0.99999959290899243</v>
      </c>
    </row>
    <row r="19" spans="1:14" ht="32.25" customHeight="1" x14ac:dyDescent="0.2">
      <c r="A19" s="11" t="s">
        <v>38</v>
      </c>
      <c r="B19" s="11" t="s">
        <v>39</v>
      </c>
      <c r="C19" s="12" t="s">
        <v>31</v>
      </c>
      <c r="D19" s="13">
        <v>31.44</v>
      </c>
      <c r="E19" s="14">
        <f>[1]CPUs!I47</f>
        <v>573.22715839622401</v>
      </c>
      <c r="F19" s="14">
        <v>708.68073592525172</v>
      </c>
      <c r="G19" s="14">
        <f>D19*F19</f>
        <v>22280.922337489916</v>
      </c>
      <c r="H19" s="13">
        <v>18</v>
      </c>
      <c r="I19" s="13">
        <f>'RESUMO MEM.'!E25</f>
        <v>13.439999999999998</v>
      </c>
      <c r="J19" s="13">
        <f t="shared" ref="J19:J25" si="4">H19+I19</f>
        <v>31.439999999999998</v>
      </c>
      <c r="K19" s="13">
        <f t="shared" ref="K19:K25" si="5">H19*F19</f>
        <v>12756.253246654531</v>
      </c>
      <c r="L19" s="13">
        <f t="shared" ref="L19:L25" si="6">I19*F19</f>
        <v>9524.6690908353812</v>
      </c>
      <c r="M19" s="13">
        <f t="shared" ref="M19:M25" si="7">J19*F19</f>
        <v>22280.922337489912</v>
      </c>
      <c r="N19" s="62">
        <f>M19/G19</f>
        <v>0.99999999999999989</v>
      </c>
    </row>
    <row r="20" spans="1:14" ht="33" customHeight="1" x14ac:dyDescent="0.2">
      <c r="A20" s="11" t="s">
        <v>40</v>
      </c>
      <c r="B20" s="11" t="s">
        <v>41</v>
      </c>
      <c r="C20" s="12" t="s">
        <v>31</v>
      </c>
      <c r="D20" s="13">
        <v>17.04</v>
      </c>
      <c r="E20" s="14">
        <f>[1]CPUs!I98</f>
        <v>978.91286938692781</v>
      </c>
      <c r="F20" s="14">
        <v>1210.2299804230588</v>
      </c>
      <c r="G20" s="14">
        <f>(D20*F20)</f>
        <v>20622.318866408921</v>
      </c>
      <c r="H20" s="13">
        <v>15</v>
      </c>
      <c r="I20" s="13">
        <f>'RESUMO MEM.'!E31</f>
        <v>2.0399999999999991</v>
      </c>
      <c r="J20" s="13">
        <f t="shared" si="4"/>
        <v>17.04</v>
      </c>
      <c r="K20" s="13">
        <f>(H20*F20)-0.01</f>
        <v>18153.439706345885</v>
      </c>
      <c r="L20" s="13">
        <f t="shared" si="6"/>
        <v>2468.8691600630391</v>
      </c>
      <c r="M20" s="13">
        <f>(J20*F20)-0.01</f>
        <v>20622.308866408923</v>
      </c>
      <c r="N20" s="62">
        <f t="shared" ref="N20:N93" si="8">M20/G20</f>
        <v>0.99999951508847951</v>
      </c>
    </row>
    <row r="21" spans="1:14" ht="26.25" customHeight="1" x14ac:dyDescent="0.2">
      <c r="A21" s="11" t="s">
        <v>42</v>
      </c>
      <c r="B21" s="11" t="s">
        <v>43</v>
      </c>
      <c r="C21" s="12" t="s">
        <v>31</v>
      </c>
      <c r="D21" s="13">
        <v>6</v>
      </c>
      <c r="E21" s="14">
        <f>[1]CPUs!I169</f>
        <v>905.00213229131214</v>
      </c>
      <c r="F21" s="14">
        <v>1118.8541361517491</v>
      </c>
      <c r="G21" s="14">
        <f t="shared" ref="G21:G25" si="9">D21*F21</f>
        <v>6713.1248169104947</v>
      </c>
      <c r="H21" s="13">
        <v>6</v>
      </c>
      <c r="I21" s="13">
        <v>0</v>
      </c>
      <c r="J21" s="13">
        <f t="shared" si="4"/>
        <v>6</v>
      </c>
      <c r="K21" s="13">
        <f t="shared" si="5"/>
        <v>6713.1248169104947</v>
      </c>
      <c r="L21" s="13">
        <f t="shared" si="6"/>
        <v>0</v>
      </c>
      <c r="M21" s="13">
        <f t="shared" si="7"/>
        <v>6713.1248169104947</v>
      </c>
      <c r="N21" s="62">
        <f t="shared" si="8"/>
        <v>1</v>
      </c>
    </row>
    <row r="22" spans="1:14" ht="35.25" customHeight="1" x14ac:dyDescent="0.2">
      <c r="A22" s="11" t="s">
        <v>44</v>
      </c>
      <c r="B22" s="11" t="s">
        <v>45</v>
      </c>
      <c r="C22" s="12" t="s">
        <v>46</v>
      </c>
      <c r="D22" s="13">
        <v>275.08</v>
      </c>
      <c r="E22" s="13">
        <f>[1]CPUs!I217</f>
        <v>51.51</v>
      </c>
      <c r="F22" s="13">
        <v>63.68</v>
      </c>
      <c r="G22" s="14">
        <f>D22*F22</f>
        <v>17517.094399999998</v>
      </c>
      <c r="H22" s="13">
        <v>275.08</v>
      </c>
      <c r="I22" s="13">
        <v>0</v>
      </c>
      <c r="J22" s="13">
        <f t="shared" si="4"/>
        <v>275.08</v>
      </c>
      <c r="K22" s="13">
        <f t="shared" si="5"/>
        <v>17517.094399999998</v>
      </c>
      <c r="L22" s="13">
        <f t="shared" si="6"/>
        <v>0</v>
      </c>
      <c r="M22" s="13">
        <f t="shared" si="7"/>
        <v>17517.094399999998</v>
      </c>
      <c r="N22" s="62">
        <f t="shared" si="8"/>
        <v>1</v>
      </c>
    </row>
    <row r="23" spans="1:14" x14ac:dyDescent="0.2">
      <c r="A23" s="11" t="s">
        <v>47</v>
      </c>
      <c r="B23" s="11" t="s">
        <v>48</v>
      </c>
      <c r="C23" s="12" t="s">
        <v>31</v>
      </c>
      <c r="D23" s="13">
        <v>40.5</v>
      </c>
      <c r="E23" s="13">
        <f>[1]CPUs!I233</f>
        <v>100.66</v>
      </c>
      <c r="F23" s="13">
        <v>124.44</v>
      </c>
      <c r="G23" s="14">
        <f t="shared" si="9"/>
        <v>5039.82</v>
      </c>
      <c r="H23" s="13">
        <v>40.5</v>
      </c>
      <c r="I23" s="13">
        <v>0</v>
      </c>
      <c r="J23" s="13">
        <f t="shared" si="4"/>
        <v>40.5</v>
      </c>
      <c r="K23" s="13">
        <f t="shared" si="5"/>
        <v>5039.82</v>
      </c>
      <c r="L23" s="13">
        <f t="shared" si="6"/>
        <v>0</v>
      </c>
      <c r="M23" s="13">
        <f t="shared" si="7"/>
        <v>5039.82</v>
      </c>
      <c r="N23" s="62">
        <f>M23/G23</f>
        <v>1</v>
      </c>
    </row>
    <row r="24" spans="1:14" ht="39" customHeight="1" x14ac:dyDescent="0.2">
      <c r="A24" s="11" t="s">
        <v>49</v>
      </c>
      <c r="B24" s="11" t="s">
        <v>50</v>
      </c>
      <c r="C24" s="12" t="s">
        <v>31</v>
      </c>
      <c r="D24" s="13">
        <v>1876.5</v>
      </c>
      <c r="E24" s="13">
        <f>[1]CPUs!I247</f>
        <v>0.32</v>
      </c>
      <c r="F24" s="13">
        <v>0.39</v>
      </c>
      <c r="G24" s="14">
        <f>(D24*F24)</f>
        <v>731.83500000000004</v>
      </c>
      <c r="H24" s="13">
        <v>1876.5</v>
      </c>
      <c r="I24" s="13">
        <v>0</v>
      </c>
      <c r="J24" s="13">
        <f t="shared" si="4"/>
        <v>1876.5</v>
      </c>
      <c r="K24" s="13">
        <f>(H24*F24)-0.01</f>
        <v>731.82500000000005</v>
      </c>
      <c r="L24" s="13">
        <f t="shared" si="6"/>
        <v>0</v>
      </c>
      <c r="M24" s="13">
        <f>(J24*F24)-0.01</f>
        <v>731.82500000000005</v>
      </c>
      <c r="N24" s="62">
        <f t="shared" si="8"/>
        <v>0.99998633571775064</v>
      </c>
    </row>
    <row r="25" spans="1:14" ht="51.95" customHeight="1" x14ac:dyDescent="0.2">
      <c r="A25" s="11" t="s">
        <v>51</v>
      </c>
      <c r="B25" s="11" t="s">
        <v>52</v>
      </c>
      <c r="C25" s="12" t="s">
        <v>28</v>
      </c>
      <c r="D25" s="13">
        <v>1</v>
      </c>
      <c r="E25" s="13">
        <f>[1]CPUs!I256</f>
        <v>637.78</v>
      </c>
      <c r="F25" s="13">
        <v>788.48</v>
      </c>
      <c r="G25" s="14">
        <f t="shared" si="9"/>
        <v>788.48</v>
      </c>
      <c r="H25" s="13">
        <v>1</v>
      </c>
      <c r="I25" s="13">
        <v>0</v>
      </c>
      <c r="J25" s="13">
        <f t="shared" si="4"/>
        <v>1</v>
      </c>
      <c r="K25" s="13">
        <f t="shared" si="5"/>
        <v>788.48</v>
      </c>
      <c r="L25" s="13">
        <f t="shared" si="6"/>
        <v>0</v>
      </c>
      <c r="M25" s="13">
        <f t="shared" si="7"/>
        <v>788.48</v>
      </c>
      <c r="N25" s="62">
        <f t="shared" si="8"/>
        <v>1</v>
      </c>
    </row>
    <row r="26" spans="1:14" ht="24" customHeight="1" x14ac:dyDescent="0.2">
      <c r="A26" s="16" t="s">
        <v>53</v>
      </c>
      <c r="B26" s="16" t="s">
        <v>54</v>
      </c>
      <c r="C26" s="16"/>
      <c r="D26" s="20"/>
      <c r="E26" s="19"/>
      <c r="F26" s="19"/>
      <c r="G26" s="20">
        <f>SUM(G27:G28)</f>
        <v>6178.2861999999996</v>
      </c>
      <c r="H26" s="20"/>
      <c r="I26" s="19"/>
      <c r="J26" s="20"/>
      <c r="K26" s="20">
        <f>SUM(K27:K28)</f>
        <v>6086.8970630000003</v>
      </c>
      <c r="L26" s="20">
        <f>SUM(L27:L28)</f>
        <v>91.402215699999999</v>
      </c>
      <c r="M26" s="20">
        <f>SUM(M27:M28)</f>
        <v>6178.2892787000001</v>
      </c>
      <c r="N26" s="61">
        <f>M26/G26</f>
        <v>1.0000004983097093</v>
      </c>
    </row>
    <row r="27" spans="1:14" ht="29.25" customHeight="1" x14ac:dyDescent="0.2">
      <c r="A27" s="11" t="s">
        <v>55</v>
      </c>
      <c r="B27" s="11" t="s">
        <v>56</v>
      </c>
      <c r="C27" s="12" t="s">
        <v>31</v>
      </c>
      <c r="D27" s="13">
        <v>255.8</v>
      </c>
      <c r="E27" s="13">
        <f>[1]CPUs!I279</f>
        <v>16.239999999999998</v>
      </c>
      <c r="F27" s="13">
        <v>20.07</v>
      </c>
      <c r="G27" s="14">
        <f>(D27*F27)</f>
        <v>5133.9059999999999</v>
      </c>
      <c r="H27" s="13">
        <v>255.80090000000001</v>
      </c>
      <c r="I27" s="13">
        <v>0</v>
      </c>
      <c r="J27" s="13">
        <f>H27+I27</f>
        <v>255.80090000000001</v>
      </c>
      <c r="K27" s="13">
        <f>(H27*F27)-0.01</f>
        <v>5133.9140630000002</v>
      </c>
      <c r="L27" s="13">
        <f>I27*F27</f>
        <v>0</v>
      </c>
      <c r="M27" s="13">
        <f>(J27*F27)-0.01</f>
        <v>5133.9140630000002</v>
      </c>
      <c r="N27" s="62">
        <f t="shared" si="8"/>
        <v>1.0000015705390788</v>
      </c>
    </row>
    <row r="28" spans="1:14" ht="29.25" customHeight="1" x14ac:dyDescent="0.2">
      <c r="A28" s="11" t="s">
        <v>57</v>
      </c>
      <c r="B28" s="11" t="s">
        <v>58</v>
      </c>
      <c r="C28" s="12" t="s">
        <v>59</v>
      </c>
      <c r="D28" s="13">
        <v>18.739999999999998</v>
      </c>
      <c r="E28" s="13">
        <f>[1]CPUs!I289</f>
        <v>45.08</v>
      </c>
      <c r="F28" s="13">
        <v>55.73</v>
      </c>
      <c r="G28" s="14">
        <f>(D28*F28)</f>
        <v>1044.3801999999998</v>
      </c>
      <c r="H28" s="13">
        <v>17.100000000000001</v>
      </c>
      <c r="I28" s="13">
        <v>1.64009</v>
      </c>
      <c r="J28" s="13">
        <f>H28+I28</f>
        <v>18.740090000000002</v>
      </c>
      <c r="K28" s="13">
        <f>H28*F28</f>
        <v>952.98300000000006</v>
      </c>
      <c r="L28" s="13">
        <f>I28*F28</f>
        <v>91.402215699999999</v>
      </c>
      <c r="M28" s="13">
        <f>(J28*F28)-0.01</f>
        <v>1044.3752157000001</v>
      </c>
      <c r="N28" s="62">
        <f t="shared" si="8"/>
        <v>0.99999522750431336</v>
      </c>
    </row>
    <row r="29" spans="1:14" ht="24" customHeight="1" x14ac:dyDescent="0.2">
      <c r="A29" s="16" t="s">
        <v>60</v>
      </c>
      <c r="B29" s="16" t="s">
        <v>61</v>
      </c>
      <c r="C29" s="16"/>
      <c r="D29" s="20"/>
      <c r="E29" s="19"/>
      <c r="F29" s="19"/>
      <c r="G29" s="20">
        <f>G30+G35+G39</f>
        <v>1651945.9748911783</v>
      </c>
      <c r="H29" s="20"/>
      <c r="I29" s="19"/>
      <c r="J29" s="20"/>
      <c r="K29" s="20">
        <f>K30+K35+K39</f>
        <v>764254.14541899995</v>
      </c>
      <c r="L29" s="20">
        <f>L30+L35+L39</f>
        <v>856383.06820109999</v>
      </c>
      <c r="M29" s="20">
        <f>M30+M35+M39</f>
        <v>1620637.2136201002</v>
      </c>
      <c r="N29" s="61">
        <f t="shared" si="8"/>
        <v>0.98104734552645367</v>
      </c>
    </row>
    <row r="30" spans="1:14" ht="24" customHeight="1" x14ac:dyDescent="0.2">
      <c r="A30" s="16" t="s">
        <v>62</v>
      </c>
      <c r="B30" s="16" t="s">
        <v>63</v>
      </c>
      <c r="C30" s="16"/>
      <c r="D30" s="20"/>
      <c r="E30" s="19"/>
      <c r="F30" s="19"/>
      <c r="G30" s="20">
        <f>SUM(G31:G34)</f>
        <v>380317.17500300007</v>
      </c>
      <c r="H30" s="20"/>
      <c r="I30" s="19"/>
      <c r="J30" s="20"/>
      <c r="K30" s="20">
        <f>SUM(K31:K34)</f>
        <v>123068.37633000001</v>
      </c>
      <c r="L30" s="20">
        <f>SUM(L31:L34)</f>
        <v>257248.80728000001</v>
      </c>
      <c r="M30" s="20">
        <f>SUM(M31:M34)</f>
        <v>380317.18361000001</v>
      </c>
      <c r="N30" s="61">
        <f t="shared" si="8"/>
        <v>1.0000000226311103</v>
      </c>
    </row>
    <row r="31" spans="1:14" ht="65.099999999999994" customHeight="1" x14ac:dyDescent="0.2">
      <c r="A31" s="11" t="s">
        <v>64</v>
      </c>
      <c r="B31" s="11" t="s">
        <v>65</v>
      </c>
      <c r="C31" s="12" t="s">
        <v>59</v>
      </c>
      <c r="D31" s="13">
        <v>164.1</v>
      </c>
      <c r="E31" s="13">
        <f>[1]CPUs!I296</f>
        <v>15.85</v>
      </c>
      <c r="F31" s="13">
        <v>19.59</v>
      </c>
      <c r="G31" s="14">
        <f>D31*F31</f>
        <v>3214.7190000000001</v>
      </c>
      <c r="H31" s="13">
        <v>150.12</v>
      </c>
      <c r="I31" s="13">
        <f>'RESUMO MEM.'!E46</f>
        <v>13.97999999999999</v>
      </c>
      <c r="J31" s="13">
        <f>H31+I31</f>
        <v>164.1</v>
      </c>
      <c r="K31" s="13">
        <f>H31*F31</f>
        <v>2940.8508000000002</v>
      </c>
      <c r="L31" s="13">
        <f>I31*F31</f>
        <v>273.86819999999977</v>
      </c>
      <c r="M31" s="13">
        <f>J31*F31</f>
        <v>3214.7190000000001</v>
      </c>
      <c r="N31" s="62">
        <f t="shared" si="8"/>
        <v>1</v>
      </c>
    </row>
    <row r="32" spans="1:14" ht="65.099999999999994" customHeight="1" x14ac:dyDescent="0.2">
      <c r="A32" s="11" t="s">
        <v>66</v>
      </c>
      <c r="B32" s="11" t="s">
        <v>67</v>
      </c>
      <c r="C32" s="12" t="s">
        <v>59</v>
      </c>
      <c r="D32" s="13">
        <v>3849.76</v>
      </c>
      <c r="E32" s="13">
        <f>[1]CPUs!I306</f>
        <v>29.43</v>
      </c>
      <c r="F32" s="13">
        <v>36.380000000000003</v>
      </c>
      <c r="G32" s="14">
        <f t="shared" ref="G32:G33" si="10">D32*F32</f>
        <v>140054.26880000002</v>
      </c>
      <c r="H32" s="13">
        <v>2843.85</v>
      </c>
      <c r="I32" s="13">
        <f>'RESUMO MEM.'!E52</f>
        <v>1005.9100000000003</v>
      </c>
      <c r="J32" s="13">
        <f>H32+I32</f>
        <v>3849.76</v>
      </c>
      <c r="K32" s="13">
        <f>H32*F32</f>
        <v>103459.26300000001</v>
      </c>
      <c r="L32" s="13">
        <f>I32*F32</f>
        <v>36595.005800000014</v>
      </c>
      <c r="M32" s="13">
        <f>J32*F32</f>
        <v>140054.26880000002</v>
      </c>
      <c r="N32" s="62">
        <f t="shared" si="8"/>
        <v>1</v>
      </c>
    </row>
    <row r="33" spans="1:14" ht="39" customHeight="1" x14ac:dyDescent="0.2">
      <c r="A33" s="11" t="s">
        <v>68</v>
      </c>
      <c r="B33" s="11" t="s">
        <v>69</v>
      </c>
      <c r="C33" s="12" t="s">
        <v>70</v>
      </c>
      <c r="D33" s="13">
        <v>70365.421950000004</v>
      </c>
      <c r="E33" s="13">
        <f>[1]CPUs!I316</f>
        <v>2.16</v>
      </c>
      <c r="F33" s="13">
        <v>2.67</v>
      </c>
      <c r="G33" s="14">
        <f t="shared" si="10"/>
        <v>187875.6766065</v>
      </c>
      <c r="H33" s="13">
        <v>4587.6000000000004</v>
      </c>
      <c r="I33" s="13">
        <v>65777.824999999997</v>
      </c>
      <c r="J33" s="13">
        <f>H33+I33</f>
        <v>70365.425000000003</v>
      </c>
      <c r="K33" s="13">
        <f>H33*F33</f>
        <v>12248.892</v>
      </c>
      <c r="L33" s="13">
        <f>I33*F33</f>
        <v>175626.79274999999</v>
      </c>
      <c r="M33" s="13">
        <f>J33*F33</f>
        <v>187875.68475000001</v>
      </c>
      <c r="N33" s="62">
        <f t="shared" si="8"/>
        <v>1.0000000433451535</v>
      </c>
    </row>
    <row r="34" spans="1:14" ht="51.95" customHeight="1" x14ac:dyDescent="0.2">
      <c r="A34" s="11" t="s">
        <v>71</v>
      </c>
      <c r="B34" s="11" t="s">
        <v>72</v>
      </c>
      <c r="C34" s="12" t="s">
        <v>59</v>
      </c>
      <c r="D34" s="13">
        <v>5304.4779500000004</v>
      </c>
      <c r="E34" s="13">
        <f>[1]CPUs!I323</f>
        <v>7.5</v>
      </c>
      <c r="F34" s="13">
        <v>9.27</v>
      </c>
      <c r="G34" s="14">
        <f>(D34*F34)</f>
        <v>49172.510596500004</v>
      </c>
      <c r="H34" s="13">
        <v>476.73899999999998</v>
      </c>
      <c r="I34" s="13">
        <v>4827.7389999999996</v>
      </c>
      <c r="J34" s="13">
        <f>H34+I34</f>
        <v>5304.4779999999992</v>
      </c>
      <c r="K34" s="13">
        <f>H34*F34</f>
        <v>4419.3705299999992</v>
      </c>
      <c r="L34" s="13">
        <f>(I34*F34)</f>
        <v>44753.140529999997</v>
      </c>
      <c r="M34" s="13">
        <f>(J34*F34)</f>
        <v>49172.51105999999</v>
      </c>
      <c r="N34" s="62">
        <f t="shared" si="8"/>
        <v>1.000000009425998</v>
      </c>
    </row>
    <row r="35" spans="1:14" ht="24" customHeight="1" x14ac:dyDescent="0.2">
      <c r="A35" s="16" t="s">
        <v>73</v>
      </c>
      <c r="B35" s="16" t="s">
        <v>74</v>
      </c>
      <c r="C35" s="16"/>
      <c r="D35" s="20"/>
      <c r="E35" s="19"/>
      <c r="F35" s="19"/>
      <c r="G35" s="20">
        <f>SUM(G36:G38)</f>
        <v>422399.37</v>
      </c>
      <c r="H35" s="20"/>
      <c r="I35" s="19"/>
      <c r="J35" s="20"/>
      <c r="K35" s="20">
        <f>SUM(K36:K38)</f>
        <v>373942.59499999997</v>
      </c>
      <c r="L35" s="20">
        <f>SUM(L36:L38)</f>
        <v>48456.775000000001</v>
      </c>
      <c r="M35" s="20">
        <f>SUM(M36:M38)</f>
        <v>422399.37</v>
      </c>
      <c r="N35" s="61">
        <f t="shared" si="8"/>
        <v>1</v>
      </c>
    </row>
    <row r="36" spans="1:14" ht="51.95" customHeight="1" x14ac:dyDescent="0.2">
      <c r="A36" s="11" t="s">
        <v>75</v>
      </c>
      <c r="B36" s="11" t="s">
        <v>76</v>
      </c>
      <c r="C36" s="12" t="s">
        <v>46</v>
      </c>
      <c r="D36" s="13">
        <v>3789</v>
      </c>
      <c r="E36" s="13">
        <f>[1]CPUs!I332</f>
        <v>88.4</v>
      </c>
      <c r="F36" s="13">
        <v>109.28</v>
      </c>
      <c r="G36" s="13">
        <f>D36*F36</f>
        <v>414061.92</v>
      </c>
      <c r="H36" s="13">
        <v>3385</v>
      </c>
      <c r="I36" s="13">
        <f>'RESUMO MEM.'!E71</f>
        <v>404</v>
      </c>
      <c r="J36" s="13">
        <f>H36+I36</f>
        <v>3789</v>
      </c>
      <c r="K36" s="13">
        <f>H36*F36</f>
        <v>369912.8</v>
      </c>
      <c r="L36" s="13">
        <f>I36*F36</f>
        <v>44149.120000000003</v>
      </c>
      <c r="M36" s="13">
        <f>J36*F36</f>
        <v>414061.92</v>
      </c>
      <c r="N36" s="62">
        <f t="shared" si="8"/>
        <v>1</v>
      </c>
    </row>
    <row r="37" spans="1:14" ht="32.1" hidden="1" customHeight="1" x14ac:dyDescent="0.2">
      <c r="A37" s="11" t="s">
        <v>77</v>
      </c>
      <c r="B37" s="11" t="s">
        <v>78</v>
      </c>
      <c r="C37" s="12" t="s">
        <v>79</v>
      </c>
      <c r="D37" s="13">
        <v>0</v>
      </c>
      <c r="E37" s="13">
        <f>[1]CPUs!I347</f>
        <v>10.48</v>
      </c>
      <c r="F37" s="13">
        <f>[1]CPUs!J352</f>
        <v>12.95</v>
      </c>
      <c r="G37" s="13">
        <f>(D37*F37)</f>
        <v>0</v>
      </c>
      <c r="H37" s="13">
        <v>0</v>
      </c>
      <c r="I37" s="13">
        <v>0</v>
      </c>
      <c r="J37" s="13">
        <f>H37+I37</f>
        <v>0</v>
      </c>
      <c r="K37" s="13">
        <f>H37*F37</f>
        <v>0</v>
      </c>
      <c r="L37" s="13">
        <f>I37*F37</f>
        <v>0</v>
      </c>
      <c r="M37" s="13">
        <f>J37*F37</f>
        <v>0</v>
      </c>
      <c r="N37" s="62"/>
    </row>
    <row r="38" spans="1:14" ht="32.1" customHeight="1" x14ac:dyDescent="0.2">
      <c r="A38" s="11" t="s">
        <v>80</v>
      </c>
      <c r="B38" s="11" t="s">
        <v>81</v>
      </c>
      <c r="C38" s="12" t="s">
        <v>79</v>
      </c>
      <c r="D38" s="13">
        <v>505.3</v>
      </c>
      <c r="E38" s="13">
        <f>[1]CPUs!I355</f>
        <v>13.35</v>
      </c>
      <c r="F38" s="13">
        <v>16.5</v>
      </c>
      <c r="G38" s="13">
        <f>(D38*F38)</f>
        <v>8337.4500000000007</v>
      </c>
      <c r="H38" s="13">
        <v>244.23</v>
      </c>
      <c r="I38" s="13">
        <f>'RESUMO MEM.'!E77</f>
        <v>261.07000000000005</v>
      </c>
      <c r="J38" s="13">
        <f>H38+I38</f>
        <v>505.30000000000007</v>
      </c>
      <c r="K38" s="13">
        <f>(H38*F38)</f>
        <v>4029.7949999999996</v>
      </c>
      <c r="L38" s="13">
        <f>I38*F38</f>
        <v>4307.6550000000007</v>
      </c>
      <c r="M38" s="13">
        <f>(J38*F38)</f>
        <v>8337.4500000000007</v>
      </c>
      <c r="N38" s="62">
        <f t="shared" si="8"/>
        <v>1</v>
      </c>
    </row>
    <row r="39" spans="1:14" ht="24" customHeight="1" x14ac:dyDescent="0.2">
      <c r="A39" s="16" t="s">
        <v>82</v>
      </c>
      <c r="B39" s="16" t="s">
        <v>83</v>
      </c>
      <c r="C39" s="16"/>
      <c r="D39" s="20"/>
      <c r="E39" s="19"/>
      <c r="F39" s="19"/>
      <c r="G39" s="20">
        <f t="shared" ref="G39" si="11">G40+G47</f>
        <v>849229.42988817836</v>
      </c>
      <c r="H39" s="20"/>
      <c r="I39" s="19"/>
      <c r="J39" s="20"/>
      <c r="K39" s="20">
        <f t="shared" ref="K39" si="12">K40+K47</f>
        <v>267243.17408899998</v>
      </c>
      <c r="L39" s="20">
        <f t="shared" ref="L39" si="13">L40+L47</f>
        <v>550677.48592110001</v>
      </c>
      <c r="M39" s="20">
        <f>M40+M47</f>
        <v>817920.66001009999</v>
      </c>
      <c r="N39" s="61">
        <f t="shared" si="8"/>
        <v>0.96313273094857188</v>
      </c>
    </row>
    <row r="40" spans="1:14" ht="24" customHeight="1" x14ac:dyDescent="0.2">
      <c r="A40" s="16" t="s">
        <v>84</v>
      </c>
      <c r="B40" s="16" t="s">
        <v>85</v>
      </c>
      <c r="C40" s="16"/>
      <c r="D40" s="20"/>
      <c r="E40" s="19"/>
      <c r="F40" s="19"/>
      <c r="G40" s="20">
        <f t="shared" ref="G40" si="14">SUM(G41:G46)</f>
        <v>306342.41395007842</v>
      </c>
      <c r="H40" s="20"/>
      <c r="I40" s="19"/>
      <c r="J40" s="20"/>
      <c r="K40" s="20">
        <f t="shared" ref="K40" si="15">SUM(K41:K46)</f>
        <v>104841.36311399999</v>
      </c>
      <c r="L40" s="20">
        <f t="shared" ref="L40" si="16">SUM(L41:L46)</f>
        <v>193591.644428</v>
      </c>
      <c r="M40" s="20">
        <f>SUM(M41:M46)</f>
        <v>298433.00754199998</v>
      </c>
      <c r="N40" s="61">
        <f t="shared" si="8"/>
        <v>0.97418115792034154</v>
      </c>
    </row>
    <row r="41" spans="1:14" ht="51.95" customHeight="1" x14ac:dyDescent="0.2">
      <c r="A41" s="11" t="s">
        <v>86</v>
      </c>
      <c r="B41" s="11" t="s">
        <v>87</v>
      </c>
      <c r="C41" s="12" t="s">
        <v>46</v>
      </c>
      <c r="D41" s="13">
        <v>686.4</v>
      </c>
      <c r="E41" s="13">
        <f>[1]CPUs!I365</f>
        <v>127.94</v>
      </c>
      <c r="F41" s="13">
        <v>158.16999999999999</v>
      </c>
      <c r="G41" s="13">
        <f>D41*F41</f>
        <v>108567.88799999999</v>
      </c>
      <c r="H41" s="13">
        <v>624</v>
      </c>
      <c r="I41" s="13">
        <f>'RESUMO MEM.'!E85</f>
        <v>62.399999999999977</v>
      </c>
      <c r="J41" s="13">
        <f>H41+I41</f>
        <v>686.4</v>
      </c>
      <c r="K41" s="13">
        <f>H41*F41</f>
        <v>98698.079999999987</v>
      </c>
      <c r="L41" s="13">
        <f>I41*F41</f>
        <v>9869.8079999999954</v>
      </c>
      <c r="M41" s="13">
        <f>J41*F41</f>
        <v>108567.88799999999</v>
      </c>
      <c r="N41" s="62">
        <f t="shared" si="8"/>
        <v>1</v>
      </c>
    </row>
    <row r="42" spans="1:14" ht="30.95" customHeight="1" x14ac:dyDescent="0.2">
      <c r="A42" s="11" t="s">
        <v>88</v>
      </c>
      <c r="B42" s="11" t="s">
        <v>89</v>
      </c>
      <c r="C42" s="12" t="s">
        <v>59</v>
      </c>
      <c r="D42" s="13">
        <v>183.89160000000001</v>
      </c>
      <c r="E42" s="13">
        <f>[1]CPUs!I379</f>
        <v>0</v>
      </c>
      <c r="F42" s="13">
        <v>40.98</v>
      </c>
      <c r="G42" s="13">
        <f>(D42*F42)</f>
        <v>7535.8777680000003</v>
      </c>
      <c r="H42" s="13">
        <v>149.9093</v>
      </c>
      <c r="I42" s="13">
        <f>'RESUMO MEM.'!E91</f>
        <v>33.982300000000009</v>
      </c>
      <c r="J42" s="13">
        <f>H42+I42</f>
        <v>183.89160000000001</v>
      </c>
      <c r="K42" s="13">
        <f>(H42*F42)</f>
        <v>6143.2831139999998</v>
      </c>
      <c r="L42" s="13">
        <f>I42*F42</f>
        <v>1392.5946540000002</v>
      </c>
      <c r="M42" s="13">
        <f>(J42*F42)</f>
        <v>7535.8777680000003</v>
      </c>
      <c r="N42" s="62">
        <f t="shared" ref="N42:N46" si="17">M42/G42</f>
        <v>1</v>
      </c>
    </row>
    <row r="43" spans="1:14" ht="30.95" customHeight="1" x14ac:dyDescent="0.2">
      <c r="A43" s="73" t="s">
        <v>845</v>
      </c>
      <c r="B43" s="73" t="s">
        <v>710</v>
      </c>
      <c r="C43" s="74" t="s">
        <v>59</v>
      </c>
      <c r="D43" s="75">
        <v>227.83130000000003</v>
      </c>
      <c r="E43" s="13"/>
      <c r="F43" s="75">
        <v>55.35</v>
      </c>
      <c r="G43" s="13">
        <f>(D43*F43)</f>
        <v>12610.462455000003</v>
      </c>
      <c r="H43" s="13">
        <v>0</v>
      </c>
      <c r="I43" s="13">
        <f>'RESUMO MEM.'!E97</f>
        <v>174.32820000000004</v>
      </c>
      <c r="J43" s="13">
        <f t="shared" ref="J43:J46" si="18">H43+I43</f>
        <v>174.32820000000004</v>
      </c>
      <c r="K43" s="13">
        <f>(H43*F43)</f>
        <v>0</v>
      </c>
      <c r="L43" s="13">
        <f>I43*F43</f>
        <v>9649.0658700000022</v>
      </c>
      <c r="M43" s="13">
        <f>(J43*F43)</f>
        <v>9649.0658700000022</v>
      </c>
      <c r="N43" s="62">
        <f t="shared" si="17"/>
        <v>0.76516352230795326</v>
      </c>
    </row>
    <row r="44" spans="1:14" ht="42.75" customHeight="1" x14ac:dyDescent="0.2">
      <c r="A44" s="73" t="s">
        <v>846</v>
      </c>
      <c r="B44" s="73" t="s">
        <v>847</v>
      </c>
      <c r="C44" s="74" t="s">
        <v>46</v>
      </c>
      <c r="D44" s="75">
        <v>980</v>
      </c>
      <c r="E44" s="13"/>
      <c r="F44" s="75">
        <v>152.5</v>
      </c>
      <c r="G44" s="13">
        <f t="shared" ref="G44:G45" si="19">D44*F44</f>
        <v>149450</v>
      </c>
      <c r="H44" s="13">
        <v>0</v>
      </c>
      <c r="I44" s="13">
        <f>'RESUMO MEM.'!E103</f>
        <v>980</v>
      </c>
      <c r="J44" s="13">
        <f t="shared" si="18"/>
        <v>980</v>
      </c>
      <c r="K44" s="13">
        <f>(H44*F44)</f>
        <v>0</v>
      </c>
      <c r="L44" s="13">
        <f t="shared" ref="L44:L46" si="20">I44*F44</f>
        <v>149450</v>
      </c>
      <c r="M44" s="13">
        <f t="shared" ref="M44:M46" si="21">(J44*F44)</f>
        <v>149450</v>
      </c>
      <c r="N44" s="62">
        <f t="shared" si="17"/>
        <v>1</v>
      </c>
    </row>
    <row r="45" spans="1:14" ht="30.95" customHeight="1" x14ac:dyDescent="0.2">
      <c r="A45" s="73" t="s">
        <v>848</v>
      </c>
      <c r="B45" s="73" t="s">
        <v>849</v>
      </c>
      <c r="C45" s="74" t="s">
        <v>28</v>
      </c>
      <c r="D45" s="75">
        <v>964</v>
      </c>
      <c r="E45" s="13">
        <f>[1]CPUs!I379</f>
        <v>0</v>
      </c>
      <c r="F45" s="75">
        <v>13.747655999999999</v>
      </c>
      <c r="G45" s="13">
        <f t="shared" si="19"/>
        <v>13252.740383999999</v>
      </c>
      <c r="H45" s="13">
        <v>0</v>
      </c>
      <c r="I45" s="13">
        <f>'RESUMO MEM.'!E109</f>
        <v>964</v>
      </c>
      <c r="J45" s="13">
        <f t="shared" si="18"/>
        <v>964</v>
      </c>
      <c r="K45" s="13">
        <f>(H45*F45)</f>
        <v>0</v>
      </c>
      <c r="L45" s="13">
        <f t="shared" si="20"/>
        <v>13252.740383999999</v>
      </c>
      <c r="M45" s="13">
        <f t="shared" si="21"/>
        <v>13252.740383999999</v>
      </c>
      <c r="N45" s="62">
        <f t="shared" si="17"/>
        <v>1</v>
      </c>
    </row>
    <row r="46" spans="1:14" ht="43.5" customHeight="1" x14ac:dyDescent="0.2">
      <c r="A46" s="73" t="s">
        <v>850</v>
      </c>
      <c r="B46" s="73" t="s">
        <v>851</v>
      </c>
      <c r="C46" s="74" t="s">
        <v>59</v>
      </c>
      <c r="D46" s="75">
        <v>29.918399999999998</v>
      </c>
      <c r="E46" s="13">
        <f>[1]CPUs!I380</f>
        <v>33.15</v>
      </c>
      <c r="F46" s="75">
        <v>498.87177599999995</v>
      </c>
      <c r="G46" s="13">
        <f>(D46*F46)</f>
        <v>14925.445343078398</v>
      </c>
      <c r="H46" s="13">
        <v>0</v>
      </c>
      <c r="I46" s="13">
        <f>'RESUMO MEM.'!E115</f>
        <v>20</v>
      </c>
      <c r="J46" s="13">
        <f t="shared" si="18"/>
        <v>20</v>
      </c>
      <c r="K46" s="13">
        <f>(H46*F46)</f>
        <v>0</v>
      </c>
      <c r="L46" s="13">
        <f t="shared" si="20"/>
        <v>9977.4355199999991</v>
      </c>
      <c r="M46" s="13">
        <f t="shared" si="21"/>
        <v>9977.4355199999991</v>
      </c>
      <c r="N46" s="62">
        <f t="shared" si="17"/>
        <v>0.66848494571902239</v>
      </c>
    </row>
    <row r="47" spans="1:14" ht="24" customHeight="1" x14ac:dyDescent="0.2">
      <c r="A47" s="16" t="s">
        <v>90</v>
      </c>
      <c r="B47" s="16" t="s">
        <v>91</v>
      </c>
      <c r="C47" s="16"/>
      <c r="D47" s="20"/>
      <c r="E47" s="19"/>
      <c r="F47" s="19"/>
      <c r="G47" s="20">
        <f>SUM(G48:G63)</f>
        <v>542887.01593809994</v>
      </c>
      <c r="H47" s="20"/>
      <c r="I47" s="19"/>
      <c r="J47" s="20"/>
      <c r="K47" s="20">
        <f>SUM(K48:K63)-0.01</f>
        <v>162401.810975</v>
      </c>
      <c r="L47" s="20">
        <f>SUM(L48:L63)</f>
        <v>357085.84149309999</v>
      </c>
      <c r="M47" s="20">
        <f>SUM(M48:M63)-0.01</f>
        <v>519487.65246810002</v>
      </c>
      <c r="N47" s="61">
        <f t="shared" si="8"/>
        <v>0.9568982812573511</v>
      </c>
    </row>
    <row r="48" spans="1:14" ht="39" customHeight="1" x14ac:dyDescent="0.2">
      <c r="A48" s="11" t="s">
        <v>92</v>
      </c>
      <c r="B48" s="11" t="s">
        <v>93</v>
      </c>
      <c r="C48" s="12" t="s">
        <v>59</v>
      </c>
      <c r="D48" s="13">
        <v>28</v>
      </c>
      <c r="E48" s="13">
        <f>[1]CPUs!I390</f>
        <v>618.26</v>
      </c>
      <c r="F48" s="13">
        <v>764.35</v>
      </c>
      <c r="G48" s="13">
        <f>(D48*F48)</f>
        <v>21401.8</v>
      </c>
      <c r="H48" s="13">
        <v>28</v>
      </c>
      <c r="I48" s="13">
        <v>0</v>
      </c>
      <c r="J48" s="13">
        <f t="shared" ref="J48:J63" si="22">H48+I48</f>
        <v>28</v>
      </c>
      <c r="K48" s="13">
        <f t="shared" ref="K48:K63" si="23">H48*F48</f>
        <v>21401.8</v>
      </c>
      <c r="L48" s="13">
        <f t="shared" ref="L48:L63" si="24">I48*F48</f>
        <v>0</v>
      </c>
      <c r="M48" s="13">
        <f t="shared" ref="M48:M63" si="25">J48*F48</f>
        <v>21401.8</v>
      </c>
      <c r="N48" s="62">
        <f t="shared" si="8"/>
        <v>1</v>
      </c>
    </row>
    <row r="49" spans="1:14" ht="39" customHeight="1" x14ac:dyDescent="0.2">
      <c r="A49" s="11" t="s">
        <v>94</v>
      </c>
      <c r="B49" s="11" t="s">
        <v>95</v>
      </c>
      <c r="C49" s="12" t="s">
        <v>59</v>
      </c>
      <c r="D49" s="13">
        <v>162.87799999999999</v>
      </c>
      <c r="E49" s="13">
        <f>[1]CPUs!I400</f>
        <v>78.849999999999994</v>
      </c>
      <c r="F49" s="13">
        <v>97.48</v>
      </c>
      <c r="G49" s="13">
        <f>(D49*F49)</f>
        <v>15877.34744</v>
      </c>
      <c r="H49" s="13">
        <v>52.5</v>
      </c>
      <c r="I49" s="13">
        <f>'RESUMO MEM.'!E122</f>
        <v>102.7045</v>
      </c>
      <c r="J49" s="13">
        <f t="shared" si="22"/>
        <v>155.2045</v>
      </c>
      <c r="K49" s="13">
        <f t="shared" si="23"/>
        <v>5117.7</v>
      </c>
      <c r="L49" s="13">
        <f t="shared" si="24"/>
        <v>10011.63466</v>
      </c>
      <c r="M49" s="13">
        <f t="shared" si="25"/>
        <v>15129.33466</v>
      </c>
      <c r="N49" s="62">
        <f t="shared" si="8"/>
        <v>0.95288805117941044</v>
      </c>
    </row>
    <row r="50" spans="1:14" ht="39" customHeight="1" x14ac:dyDescent="0.2">
      <c r="A50" s="11" t="s">
        <v>96</v>
      </c>
      <c r="B50" s="11" t="s">
        <v>97</v>
      </c>
      <c r="C50" s="12" t="s">
        <v>31</v>
      </c>
      <c r="D50" s="13">
        <v>1000.46</v>
      </c>
      <c r="E50" s="13">
        <f>[1]CPUs!I407</f>
        <v>119.28</v>
      </c>
      <c r="F50" s="13">
        <v>147.46</v>
      </c>
      <c r="G50" s="13">
        <f t="shared" ref="G50:G61" si="26">D50*F50</f>
        <v>147527.8316</v>
      </c>
      <c r="H50" s="13">
        <v>136.63999999999999</v>
      </c>
      <c r="I50" s="13">
        <f>'RESUMO MEM.'!E128</f>
        <v>846.30000000000007</v>
      </c>
      <c r="J50" s="13">
        <f t="shared" si="22"/>
        <v>982.94</v>
      </c>
      <c r="K50" s="13">
        <f t="shared" si="23"/>
        <v>20148.934399999998</v>
      </c>
      <c r="L50" s="13">
        <f t="shared" si="24"/>
        <v>124795.39800000002</v>
      </c>
      <c r="M50" s="13">
        <f t="shared" si="25"/>
        <v>144944.33240000001</v>
      </c>
      <c r="N50" s="62">
        <f t="shared" si="8"/>
        <v>0.9824880554944726</v>
      </c>
    </row>
    <row r="51" spans="1:14" ht="26.1" customHeight="1" x14ac:dyDescent="0.2">
      <c r="A51" s="11" t="s">
        <v>98</v>
      </c>
      <c r="B51" s="11" t="s">
        <v>99</v>
      </c>
      <c r="C51" s="12" t="s">
        <v>59</v>
      </c>
      <c r="D51" s="13">
        <v>281.71325000000002</v>
      </c>
      <c r="E51" s="13">
        <f>[1]CPUs!I424</f>
        <v>68.319999999999993</v>
      </c>
      <c r="F51" s="13">
        <v>84.46</v>
      </c>
      <c r="G51" s="13">
        <f>(D51*F51)</f>
        <v>23793.501095</v>
      </c>
      <c r="H51" s="13">
        <v>11.14</v>
      </c>
      <c r="I51" s="13">
        <f>'RESUMO MEM.'!E134</f>
        <v>211.48824999999999</v>
      </c>
      <c r="J51" s="13">
        <f t="shared" si="22"/>
        <v>222.62824999999998</v>
      </c>
      <c r="K51" s="13">
        <f t="shared" si="23"/>
        <v>940.88440000000003</v>
      </c>
      <c r="L51" s="13">
        <f t="shared" si="24"/>
        <v>17862.297594999996</v>
      </c>
      <c r="M51" s="13">
        <f t="shared" si="25"/>
        <v>18803.181994999995</v>
      </c>
      <c r="N51" s="62">
        <f t="shared" si="8"/>
        <v>0.7902654560976452</v>
      </c>
    </row>
    <row r="52" spans="1:14" ht="39" hidden="1" customHeight="1" x14ac:dyDescent="0.2">
      <c r="A52" s="11" t="s">
        <v>100</v>
      </c>
      <c r="B52" s="11" t="s">
        <v>101</v>
      </c>
      <c r="C52" s="12" t="s">
        <v>31</v>
      </c>
      <c r="D52" s="13">
        <v>965.06999999999994</v>
      </c>
      <c r="E52" s="13">
        <f>[1]CPUs!I430</f>
        <v>2.73</v>
      </c>
      <c r="F52" s="13">
        <v>3.37</v>
      </c>
      <c r="G52" s="13">
        <f>(D52*F52)</f>
        <v>3252.2858999999999</v>
      </c>
      <c r="H52" s="13">
        <v>0</v>
      </c>
      <c r="I52" s="13">
        <v>0</v>
      </c>
      <c r="J52" s="13">
        <f t="shared" si="22"/>
        <v>0</v>
      </c>
      <c r="K52" s="13">
        <f t="shared" si="23"/>
        <v>0</v>
      </c>
      <c r="L52" s="13">
        <f t="shared" si="24"/>
        <v>0</v>
      </c>
      <c r="M52" s="13">
        <f t="shared" si="25"/>
        <v>0</v>
      </c>
      <c r="N52" s="62">
        <f t="shared" si="8"/>
        <v>0</v>
      </c>
    </row>
    <row r="53" spans="1:14" ht="39" customHeight="1" x14ac:dyDescent="0.2">
      <c r="A53" s="11" t="s">
        <v>102</v>
      </c>
      <c r="B53" s="11" t="s">
        <v>103</v>
      </c>
      <c r="C53" s="12" t="s">
        <v>79</v>
      </c>
      <c r="D53" s="13">
        <v>1204.6600000000001</v>
      </c>
      <c r="E53" s="13">
        <f>[1]CPUs!I438</f>
        <v>11.82</v>
      </c>
      <c r="F53" s="13">
        <v>14.61</v>
      </c>
      <c r="G53" s="13">
        <f t="shared" si="26"/>
        <v>17600.082600000002</v>
      </c>
      <c r="H53" s="13">
        <v>447.1</v>
      </c>
      <c r="I53" s="13">
        <f>'RESUMO MEM.'!E140</f>
        <v>757.56000000000006</v>
      </c>
      <c r="J53" s="13">
        <f t="shared" si="22"/>
        <v>1204.6600000000001</v>
      </c>
      <c r="K53" s="13">
        <f>(H53*F53)</f>
        <v>6532.1310000000003</v>
      </c>
      <c r="L53" s="13">
        <f t="shared" si="24"/>
        <v>11067.9516</v>
      </c>
      <c r="M53" s="13">
        <f>(J53*F53)</f>
        <v>17600.082600000002</v>
      </c>
      <c r="N53" s="62">
        <f t="shared" si="8"/>
        <v>1</v>
      </c>
    </row>
    <row r="54" spans="1:14" ht="30" customHeight="1" x14ac:dyDescent="0.2">
      <c r="A54" s="11" t="s">
        <v>104</v>
      </c>
      <c r="B54" s="11" t="s">
        <v>105</v>
      </c>
      <c r="C54" s="12" t="s">
        <v>79</v>
      </c>
      <c r="D54" s="13">
        <v>2329.8000000000002</v>
      </c>
      <c r="E54" s="13">
        <f>[1]CPUs!I448</f>
        <v>11.26</v>
      </c>
      <c r="F54" s="13">
        <v>13.92</v>
      </c>
      <c r="G54" s="13">
        <f>(D54*F54)</f>
        <v>32430.816000000003</v>
      </c>
      <c r="H54" s="13">
        <v>1874.4</v>
      </c>
      <c r="I54" s="13">
        <v>0</v>
      </c>
      <c r="J54" s="13">
        <f t="shared" si="22"/>
        <v>1874.4</v>
      </c>
      <c r="K54" s="13">
        <f t="shared" si="23"/>
        <v>26091.648000000001</v>
      </c>
      <c r="L54" s="13">
        <f t="shared" si="24"/>
        <v>0</v>
      </c>
      <c r="M54" s="13">
        <f t="shared" si="25"/>
        <v>26091.648000000001</v>
      </c>
      <c r="N54" s="62">
        <f t="shared" si="8"/>
        <v>0.80453257790368271</v>
      </c>
    </row>
    <row r="55" spans="1:14" ht="30" customHeight="1" x14ac:dyDescent="0.2">
      <c r="A55" s="11" t="s">
        <v>106</v>
      </c>
      <c r="B55" s="11" t="s">
        <v>107</v>
      </c>
      <c r="C55" s="12" t="s">
        <v>79</v>
      </c>
      <c r="D55" s="13">
        <v>1426.6999999999998</v>
      </c>
      <c r="E55" s="13">
        <f>[1]CPUs!I458</f>
        <v>10.66</v>
      </c>
      <c r="F55" s="13">
        <v>13.17</v>
      </c>
      <c r="G55" s="13">
        <f>(D55*F55)</f>
        <v>18789.638999999999</v>
      </c>
      <c r="H55" s="13">
        <v>1179.2</v>
      </c>
      <c r="I55" s="13">
        <v>0</v>
      </c>
      <c r="J55" s="13">
        <f t="shared" si="22"/>
        <v>1179.2</v>
      </c>
      <c r="K55" s="13">
        <f t="shared" si="23"/>
        <v>15530.064</v>
      </c>
      <c r="L55" s="13">
        <f t="shared" si="24"/>
        <v>0</v>
      </c>
      <c r="M55" s="13">
        <f t="shared" si="25"/>
        <v>15530.064</v>
      </c>
      <c r="N55" s="62">
        <f t="shared" si="8"/>
        <v>0.82652274479568244</v>
      </c>
    </row>
    <row r="56" spans="1:14" ht="30" customHeight="1" x14ac:dyDescent="0.2">
      <c r="A56" s="11" t="s">
        <v>108</v>
      </c>
      <c r="B56" s="11" t="s">
        <v>109</v>
      </c>
      <c r="C56" s="12" t="s">
        <v>79</v>
      </c>
      <c r="D56" s="13">
        <v>1712.4</v>
      </c>
      <c r="E56" s="13">
        <f>[1]CPUs!I468</f>
        <v>15.85</v>
      </c>
      <c r="F56" s="13">
        <v>19.59</v>
      </c>
      <c r="G56" s="13">
        <f t="shared" si="26"/>
        <v>33545.916000000005</v>
      </c>
      <c r="H56" s="13">
        <v>1018.8</v>
      </c>
      <c r="I56" s="13">
        <f>'RESUMO MEM.'!E146</f>
        <v>693.60000000000014</v>
      </c>
      <c r="J56" s="13">
        <f t="shared" si="22"/>
        <v>1712.4</v>
      </c>
      <c r="K56" s="13">
        <f t="shared" si="23"/>
        <v>19958.291999999998</v>
      </c>
      <c r="L56" s="13">
        <f t="shared" si="24"/>
        <v>13587.624000000003</v>
      </c>
      <c r="M56" s="13">
        <f t="shared" si="25"/>
        <v>33545.916000000005</v>
      </c>
      <c r="N56" s="62">
        <f t="shared" si="8"/>
        <v>1</v>
      </c>
    </row>
    <row r="57" spans="1:14" ht="39" customHeight="1" x14ac:dyDescent="0.2">
      <c r="A57" s="11" t="s">
        <v>110</v>
      </c>
      <c r="B57" s="11" t="s">
        <v>111</v>
      </c>
      <c r="C57" s="12" t="s">
        <v>59</v>
      </c>
      <c r="D57" s="13">
        <v>23.928549999999998</v>
      </c>
      <c r="E57" s="13">
        <f>[1]CPUs!I478</f>
        <v>426.8</v>
      </c>
      <c r="F57" s="13">
        <v>527.65</v>
      </c>
      <c r="G57" s="13">
        <f>(D57*F57)</f>
        <v>12625.899407499999</v>
      </c>
      <c r="H57" s="13">
        <v>2.3595000000000002</v>
      </c>
      <c r="I57" s="13">
        <f>'RESUMO MEM.'!E152</f>
        <v>20.965049999999998</v>
      </c>
      <c r="J57" s="13">
        <f t="shared" si="22"/>
        <v>23.324549999999999</v>
      </c>
      <c r="K57" s="13">
        <f>(H57*F57)+0.26</f>
        <v>1245.2501750000001</v>
      </c>
      <c r="L57" s="13">
        <f t="shared" si="24"/>
        <v>11062.208632499998</v>
      </c>
      <c r="M57" s="13">
        <f>(J57*F57)+0.26</f>
        <v>12307.458807499999</v>
      </c>
      <c r="N57" s="62">
        <f t="shared" si="8"/>
        <v>0.97477877894300025</v>
      </c>
    </row>
    <row r="58" spans="1:14" ht="30" customHeight="1" x14ac:dyDescent="0.2">
      <c r="A58" s="11" t="s">
        <v>112</v>
      </c>
      <c r="B58" s="11" t="s">
        <v>113</v>
      </c>
      <c r="C58" s="12" t="s">
        <v>79</v>
      </c>
      <c r="D58" s="13">
        <v>1919.4999999999998</v>
      </c>
      <c r="E58" s="13">
        <f>[1]CPUs!I487</f>
        <v>11.82</v>
      </c>
      <c r="F58" s="13">
        <v>14.61</v>
      </c>
      <c r="G58" s="13">
        <f t="shared" si="26"/>
        <v>28043.894999999997</v>
      </c>
      <c r="H58" s="13">
        <v>289.2</v>
      </c>
      <c r="I58" s="13">
        <f>'RESUMO MEM.'!E158</f>
        <v>1630.2999999999997</v>
      </c>
      <c r="J58" s="13">
        <f t="shared" si="22"/>
        <v>1919.4999999999998</v>
      </c>
      <c r="K58" s="13">
        <f t="shared" si="23"/>
        <v>4225.2119999999995</v>
      </c>
      <c r="L58" s="13">
        <f t="shared" si="24"/>
        <v>23818.682999999994</v>
      </c>
      <c r="M58" s="13">
        <f>(J58*F58)</f>
        <v>28043.894999999997</v>
      </c>
      <c r="N58" s="62">
        <f t="shared" si="8"/>
        <v>1</v>
      </c>
    </row>
    <row r="59" spans="1:14" ht="30" customHeight="1" x14ac:dyDescent="0.2">
      <c r="A59" s="11" t="s">
        <v>114</v>
      </c>
      <c r="B59" s="11" t="s">
        <v>115</v>
      </c>
      <c r="C59" s="12" t="s">
        <v>79</v>
      </c>
      <c r="D59" s="13">
        <v>260.7</v>
      </c>
      <c r="E59" s="13">
        <f>[1]CPUs!I497</f>
        <v>11.53</v>
      </c>
      <c r="F59" s="13">
        <v>14.25</v>
      </c>
      <c r="G59" s="13">
        <f t="shared" si="26"/>
        <v>3714.9749999999999</v>
      </c>
      <c r="H59" s="13">
        <v>260.7</v>
      </c>
      <c r="I59" s="13">
        <v>0</v>
      </c>
      <c r="J59" s="13">
        <f t="shared" si="22"/>
        <v>260.7</v>
      </c>
      <c r="K59" s="13">
        <f t="shared" si="23"/>
        <v>3714.9749999999999</v>
      </c>
      <c r="L59" s="13">
        <f t="shared" si="24"/>
        <v>0</v>
      </c>
      <c r="M59" s="13">
        <f t="shared" si="25"/>
        <v>3714.9749999999999</v>
      </c>
      <c r="N59" s="62">
        <f t="shared" si="8"/>
        <v>1</v>
      </c>
    </row>
    <row r="60" spans="1:14" ht="30" customHeight="1" x14ac:dyDescent="0.2">
      <c r="A60" s="11" t="s">
        <v>116</v>
      </c>
      <c r="B60" s="11" t="s">
        <v>117</v>
      </c>
      <c r="C60" s="12" t="s">
        <v>79</v>
      </c>
      <c r="D60" s="13">
        <v>1693</v>
      </c>
      <c r="E60" s="13">
        <f>[1]CPUs!I507</f>
        <v>14.84</v>
      </c>
      <c r="F60" s="13">
        <v>18.34</v>
      </c>
      <c r="G60" s="13">
        <f>(D60*F60)</f>
        <v>31049.62</v>
      </c>
      <c r="H60" s="13">
        <v>1690.7</v>
      </c>
      <c r="I60" s="13">
        <v>0</v>
      </c>
      <c r="J60" s="13">
        <f t="shared" si="22"/>
        <v>1690.7</v>
      </c>
      <c r="K60" s="13">
        <f t="shared" si="23"/>
        <v>31007.438000000002</v>
      </c>
      <c r="L60" s="13">
        <f t="shared" si="24"/>
        <v>0</v>
      </c>
      <c r="M60" s="13">
        <f t="shared" si="25"/>
        <v>31007.438000000002</v>
      </c>
      <c r="N60" s="62">
        <f t="shared" si="8"/>
        <v>0.9986414648552866</v>
      </c>
    </row>
    <row r="61" spans="1:14" ht="30" customHeight="1" x14ac:dyDescent="0.2">
      <c r="A61" s="11" t="s">
        <v>118</v>
      </c>
      <c r="B61" s="11" t="s">
        <v>119</v>
      </c>
      <c r="C61" s="12" t="s">
        <v>79</v>
      </c>
      <c r="D61" s="13">
        <v>379.74</v>
      </c>
      <c r="E61" s="13">
        <f>[1]CPUs!I517</f>
        <v>16.86</v>
      </c>
      <c r="F61" s="13">
        <v>20.84</v>
      </c>
      <c r="G61" s="13">
        <f t="shared" si="26"/>
        <v>7913.7816000000003</v>
      </c>
      <c r="H61" s="13">
        <v>311.3</v>
      </c>
      <c r="I61" s="13">
        <f>'RESUMO MEM.'!E164</f>
        <v>68.44</v>
      </c>
      <c r="J61" s="13">
        <f t="shared" si="22"/>
        <v>379.74</v>
      </c>
      <c r="K61" s="13">
        <f t="shared" si="23"/>
        <v>6487.4920000000002</v>
      </c>
      <c r="L61" s="13">
        <f t="shared" si="24"/>
        <v>1426.2895999999998</v>
      </c>
      <c r="M61" s="13">
        <f t="shared" si="25"/>
        <v>7913.7816000000003</v>
      </c>
      <c r="N61" s="62">
        <f t="shared" si="8"/>
        <v>1</v>
      </c>
    </row>
    <row r="62" spans="1:14" ht="45.75" customHeight="1" x14ac:dyDescent="0.2">
      <c r="A62" s="11" t="s">
        <v>852</v>
      </c>
      <c r="B62" s="73" t="s">
        <v>854</v>
      </c>
      <c r="C62" s="12" t="s">
        <v>59</v>
      </c>
      <c r="D62" s="75">
        <v>162.91299999999998</v>
      </c>
      <c r="E62" s="13"/>
      <c r="F62" s="13">
        <v>680.23</v>
      </c>
      <c r="G62" s="13">
        <f>(D62*F62)</f>
        <v>110818.30998999999</v>
      </c>
      <c r="H62" s="13">
        <v>0</v>
      </c>
      <c r="I62" s="13">
        <f>'RESUMO MEM.'!E170</f>
        <v>160.16999999999999</v>
      </c>
      <c r="J62" s="13">
        <f t="shared" si="22"/>
        <v>160.16999999999999</v>
      </c>
      <c r="K62" s="13">
        <f t="shared" si="23"/>
        <v>0</v>
      </c>
      <c r="L62" s="13">
        <f t="shared" si="24"/>
        <v>108952.43909999999</v>
      </c>
      <c r="M62" s="13">
        <f t="shared" si="25"/>
        <v>108952.43909999999</v>
      </c>
      <c r="N62" s="62">
        <f t="shared" si="8"/>
        <v>0.98316279241067317</v>
      </c>
    </row>
    <row r="63" spans="1:14" ht="30" customHeight="1" x14ac:dyDescent="0.2">
      <c r="A63" s="11" t="s">
        <v>853</v>
      </c>
      <c r="B63" s="73" t="s">
        <v>855</v>
      </c>
      <c r="C63" s="12" t="s">
        <v>79</v>
      </c>
      <c r="D63" s="75">
        <v>2428.7999999999997</v>
      </c>
      <c r="E63" s="13"/>
      <c r="F63" s="13">
        <v>14.205087000000001</v>
      </c>
      <c r="G63" s="13">
        <f>(D63*F63)</f>
        <v>34501.315305600001</v>
      </c>
      <c r="H63" s="13">
        <v>0</v>
      </c>
      <c r="I63" s="13">
        <f>'RESUMO MEM.'!E176</f>
        <v>2428.7999999999997</v>
      </c>
      <c r="J63" s="13">
        <f t="shared" si="22"/>
        <v>2428.7999999999997</v>
      </c>
      <c r="K63" s="13">
        <f t="shared" si="23"/>
        <v>0</v>
      </c>
      <c r="L63" s="13">
        <f t="shared" si="24"/>
        <v>34501.315305600001</v>
      </c>
      <c r="M63" s="13">
        <f t="shared" si="25"/>
        <v>34501.315305600001</v>
      </c>
      <c r="N63" s="62">
        <f t="shared" si="8"/>
        <v>1</v>
      </c>
    </row>
    <row r="64" spans="1:14" ht="24" customHeight="1" x14ac:dyDescent="0.2">
      <c r="A64" s="16" t="s">
        <v>120</v>
      </c>
      <c r="B64" s="16" t="s">
        <v>121</v>
      </c>
      <c r="C64" s="16"/>
      <c r="D64" s="20"/>
      <c r="E64" s="19"/>
      <c r="F64" s="19"/>
      <c r="G64" s="20">
        <f>SUM(G65:G81)</f>
        <v>9276329.8867979459</v>
      </c>
      <c r="H64" s="20"/>
      <c r="I64" s="19"/>
      <c r="J64" s="20"/>
      <c r="K64" s="20">
        <f>SUM(K65:K81)</f>
        <v>6550778.6845963467</v>
      </c>
      <c r="L64" s="20">
        <f>SUM(L65:L81)</f>
        <v>864108.15078195918</v>
      </c>
      <c r="M64" s="20">
        <f>SUM(M65:M81)</f>
        <v>7414886.835378306</v>
      </c>
      <c r="N64" s="61">
        <f t="shared" si="8"/>
        <v>0.79933410366648971</v>
      </c>
    </row>
    <row r="65" spans="1:14" ht="32.25" hidden="1" customHeight="1" x14ac:dyDescent="0.2">
      <c r="A65" s="11" t="s">
        <v>122</v>
      </c>
      <c r="B65" s="11" t="s">
        <v>123</v>
      </c>
      <c r="C65" s="12" t="s">
        <v>79</v>
      </c>
      <c r="D65" s="13">
        <v>637.54999999999995</v>
      </c>
      <c r="E65" s="13">
        <f>[1]CPUs!I527</f>
        <v>15.98</v>
      </c>
      <c r="F65" s="13">
        <v>19.75</v>
      </c>
      <c r="G65" s="13">
        <f>D65*F65</f>
        <v>12591.612499999999</v>
      </c>
      <c r="H65" s="13">
        <v>0</v>
      </c>
      <c r="I65" s="270">
        <v>0</v>
      </c>
      <c r="J65" s="13">
        <f>H65+I65</f>
        <v>0</v>
      </c>
      <c r="K65" s="13">
        <f>H65*F65</f>
        <v>0</v>
      </c>
      <c r="L65" s="13">
        <f>I65*F65</f>
        <v>0</v>
      </c>
      <c r="M65" s="13">
        <f>J65*F65</f>
        <v>0</v>
      </c>
      <c r="N65" s="62">
        <f t="shared" si="8"/>
        <v>0</v>
      </c>
    </row>
    <row r="66" spans="1:14" ht="48" customHeight="1" x14ac:dyDescent="0.2">
      <c r="A66" s="11" t="s">
        <v>124</v>
      </c>
      <c r="B66" s="11" t="s">
        <v>125</v>
      </c>
      <c r="C66" s="12" t="s">
        <v>79</v>
      </c>
      <c r="D66" s="14">
        <v>244040</v>
      </c>
      <c r="E66" s="13">
        <f>[1]CPUs!I537</f>
        <v>28.331400477099997</v>
      </c>
      <c r="F66" s="13">
        <v>35.026110409838729</v>
      </c>
      <c r="G66" s="13">
        <f>(D66*F66)</f>
        <v>8547771.9844170436</v>
      </c>
      <c r="H66" s="13">
        <v>187025.58199999999</v>
      </c>
      <c r="I66" s="13">
        <f>'RESUMO MEM.'!E183</f>
        <v>10249.997999999992</v>
      </c>
      <c r="J66" s="13">
        <f>H66+I66</f>
        <v>197275.58</v>
      </c>
      <c r="K66" s="13">
        <f>H66*F66</f>
        <v>6550778.6845963467</v>
      </c>
      <c r="L66" s="13">
        <f>I66*F66</f>
        <v>359017.56164862588</v>
      </c>
      <c r="M66" s="13">
        <f>J66*F66</f>
        <v>6909796.2462449726</v>
      </c>
      <c r="N66" s="62">
        <f t="shared" si="8"/>
        <v>0.80837395508932952</v>
      </c>
    </row>
    <row r="67" spans="1:14" ht="32.25" hidden="1" customHeight="1" x14ac:dyDescent="0.2">
      <c r="A67" s="11" t="s">
        <v>126</v>
      </c>
      <c r="B67" s="11" t="s">
        <v>127</v>
      </c>
      <c r="C67" s="12" t="s">
        <v>31</v>
      </c>
      <c r="D67" s="13">
        <v>0</v>
      </c>
      <c r="E67" s="13">
        <f>[1]CPUs!I547</f>
        <v>200.14249999999998</v>
      </c>
      <c r="F67" s="13">
        <f>[1]CPUs!J551</f>
        <v>247.43617274999997</v>
      </c>
      <c r="G67" s="13">
        <f t="shared" ref="G67:G80" si="27">D67*F67</f>
        <v>0</v>
      </c>
      <c r="H67" s="13">
        <v>0</v>
      </c>
      <c r="I67" s="270">
        <v>0</v>
      </c>
      <c r="J67" s="13">
        <f>H67+I67</f>
        <v>0</v>
      </c>
      <c r="K67" s="13">
        <f>H67*F67</f>
        <v>0</v>
      </c>
      <c r="L67" s="13">
        <f>I67*F67</f>
        <v>0</v>
      </c>
      <c r="M67" s="13">
        <f>J67*F67</f>
        <v>0</v>
      </c>
      <c r="N67" s="62"/>
    </row>
    <row r="68" spans="1:14" ht="32.25" hidden="1" customHeight="1" x14ac:dyDescent="0.2">
      <c r="A68" s="11" t="s">
        <v>128</v>
      </c>
      <c r="B68" s="11" t="s">
        <v>129</v>
      </c>
      <c r="C68" s="12" t="s">
        <v>31</v>
      </c>
      <c r="D68" s="13">
        <v>0</v>
      </c>
      <c r="E68" s="13">
        <f>[1]CPUs!I554</f>
        <v>89.81</v>
      </c>
      <c r="F68" s="13">
        <f>[1]CPUs!J559</f>
        <v>111.03</v>
      </c>
      <c r="G68" s="13">
        <f>(D68*F68)</f>
        <v>0</v>
      </c>
      <c r="H68" s="13">
        <v>0</v>
      </c>
      <c r="I68" s="270">
        <v>0</v>
      </c>
      <c r="J68" s="13">
        <f>H68+I68</f>
        <v>0</v>
      </c>
      <c r="K68" s="13">
        <f>H68*F68</f>
        <v>0</v>
      </c>
      <c r="L68" s="13">
        <f>I68*F68</f>
        <v>0</v>
      </c>
      <c r="M68" s="13">
        <f>J68*F68</f>
        <v>0</v>
      </c>
      <c r="N68" s="62"/>
    </row>
    <row r="69" spans="1:14" ht="40.5" hidden="1" customHeight="1" x14ac:dyDescent="0.2">
      <c r="A69" s="11" t="s">
        <v>130</v>
      </c>
      <c r="B69" s="11" t="s">
        <v>131</v>
      </c>
      <c r="C69" s="12" t="s">
        <v>59</v>
      </c>
      <c r="D69" s="13">
        <v>0</v>
      </c>
      <c r="E69" s="13">
        <f>[1]CPUs!I562</f>
        <v>639.05999999999995</v>
      </c>
      <c r="F69" s="13">
        <f>[1]CPUs!J570</f>
        <v>790.06</v>
      </c>
      <c r="G69" s="13">
        <f t="shared" si="27"/>
        <v>0</v>
      </c>
      <c r="H69" s="13">
        <v>0</v>
      </c>
      <c r="I69" s="270">
        <v>0</v>
      </c>
      <c r="J69" s="13">
        <f>H69+I69</f>
        <v>0</v>
      </c>
      <c r="K69" s="13">
        <f>H69*F69</f>
        <v>0</v>
      </c>
      <c r="L69" s="13">
        <f>I69*F69</f>
        <v>0</v>
      </c>
      <c r="M69" s="13">
        <f>J69*F69</f>
        <v>0</v>
      </c>
      <c r="N69" s="62"/>
    </row>
    <row r="70" spans="1:14" ht="48" customHeight="1" x14ac:dyDescent="0.2">
      <c r="A70" s="73" t="s">
        <v>856</v>
      </c>
      <c r="B70" s="73" t="s">
        <v>857</v>
      </c>
      <c r="C70" s="74" t="s">
        <v>79</v>
      </c>
      <c r="D70" s="75">
        <v>1025.6799999999998</v>
      </c>
      <c r="E70" s="13"/>
      <c r="F70" s="13">
        <v>20.84</v>
      </c>
      <c r="G70" s="13">
        <f t="shared" si="27"/>
        <v>21375.171199999997</v>
      </c>
      <c r="H70" s="13">
        <v>0</v>
      </c>
      <c r="I70" s="13">
        <f>'RESUMO MEM.'!E189</f>
        <v>565.6966666666666</v>
      </c>
      <c r="J70" s="13">
        <f t="shared" ref="J70:J81" si="28">H70+I70</f>
        <v>565.6966666666666</v>
      </c>
      <c r="K70" s="13">
        <f t="shared" ref="K70:K81" si="29">H70*F70</f>
        <v>0</v>
      </c>
      <c r="L70" s="13">
        <f t="shared" ref="L70:L81" si="30">I70*F70</f>
        <v>11789.118533333332</v>
      </c>
      <c r="M70" s="13">
        <f t="shared" ref="M70:M81" si="31">J70*F70</f>
        <v>11789.118533333332</v>
      </c>
      <c r="N70" s="62">
        <f t="shared" si="8"/>
        <v>0.55153329173491406</v>
      </c>
    </row>
    <row r="71" spans="1:14" ht="43.5" customHeight="1" x14ac:dyDescent="0.2">
      <c r="A71" s="73" t="s">
        <v>858</v>
      </c>
      <c r="B71" s="73" t="s">
        <v>859</v>
      </c>
      <c r="C71" s="74" t="s">
        <v>79</v>
      </c>
      <c r="D71" s="75">
        <v>314.5</v>
      </c>
      <c r="E71" s="13"/>
      <c r="F71" s="13">
        <v>19.59</v>
      </c>
      <c r="G71" s="13">
        <f t="shared" si="27"/>
        <v>6161.0550000000003</v>
      </c>
      <c r="H71" s="13">
        <v>0</v>
      </c>
      <c r="I71" s="13">
        <f>'RESUMO MEM.'!E195</f>
        <v>96.5</v>
      </c>
      <c r="J71" s="13">
        <f t="shared" si="28"/>
        <v>96.5</v>
      </c>
      <c r="K71" s="13">
        <f t="shared" si="29"/>
        <v>0</v>
      </c>
      <c r="L71" s="13">
        <f t="shared" si="30"/>
        <v>1890.4349999999999</v>
      </c>
      <c r="M71" s="13">
        <f t="shared" si="31"/>
        <v>1890.4349999999999</v>
      </c>
      <c r="N71" s="62">
        <f t="shared" si="8"/>
        <v>0.30683624801271858</v>
      </c>
    </row>
    <row r="72" spans="1:14" ht="42" customHeight="1" x14ac:dyDescent="0.2">
      <c r="A72" s="73" t="s">
        <v>860</v>
      </c>
      <c r="B72" s="73" t="s">
        <v>861</v>
      </c>
      <c r="C72" s="74" t="s">
        <v>79</v>
      </c>
      <c r="D72" s="75">
        <v>1392.6999999999998</v>
      </c>
      <c r="E72" s="13"/>
      <c r="F72" s="13">
        <v>18.34</v>
      </c>
      <c r="G72" s="13">
        <f t="shared" si="27"/>
        <v>25542.117999999995</v>
      </c>
      <c r="H72" s="13">
        <v>0</v>
      </c>
      <c r="I72" s="13">
        <f>'RESUMO MEM.'!E201</f>
        <v>1307.5</v>
      </c>
      <c r="J72" s="13">
        <f t="shared" si="28"/>
        <v>1307.5</v>
      </c>
      <c r="K72" s="13">
        <f t="shared" si="29"/>
        <v>0</v>
      </c>
      <c r="L72" s="13">
        <f t="shared" si="30"/>
        <v>23979.55</v>
      </c>
      <c r="M72" s="13">
        <f t="shared" si="31"/>
        <v>23979.55</v>
      </c>
      <c r="N72" s="62">
        <f t="shared" si="8"/>
        <v>0.93882386730810674</v>
      </c>
    </row>
    <row r="73" spans="1:14" ht="48" customHeight="1" x14ac:dyDescent="0.2">
      <c r="A73" s="73" t="s">
        <v>862</v>
      </c>
      <c r="B73" s="73" t="s">
        <v>103</v>
      </c>
      <c r="C73" s="74" t="s">
        <v>79</v>
      </c>
      <c r="D73" s="75">
        <v>665.53</v>
      </c>
      <c r="E73" s="13"/>
      <c r="F73" s="13">
        <v>14.61</v>
      </c>
      <c r="G73" s="13">
        <f t="shared" si="27"/>
        <v>9723.3932999999997</v>
      </c>
      <c r="H73" s="13">
        <v>0</v>
      </c>
      <c r="I73" s="13">
        <f>'RESUMO MEM.'!E207</f>
        <v>350.24</v>
      </c>
      <c r="J73" s="13">
        <f t="shared" si="28"/>
        <v>350.24</v>
      </c>
      <c r="K73" s="13">
        <f t="shared" si="29"/>
        <v>0</v>
      </c>
      <c r="L73" s="13">
        <f t="shared" si="30"/>
        <v>5117.0064000000002</v>
      </c>
      <c r="M73" s="13">
        <f t="shared" si="31"/>
        <v>5117.0064000000002</v>
      </c>
      <c r="N73" s="62">
        <f t="shared" si="8"/>
        <v>0.52625726864303646</v>
      </c>
    </row>
    <row r="74" spans="1:14" ht="33.75" hidden="1" customHeight="1" x14ac:dyDescent="0.2">
      <c r="A74" s="73" t="s">
        <v>863</v>
      </c>
      <c r="B74" s="73" t="s">
        <v>864</v>
      </c>
      <c r="C74" s="74" t="s">
        <v>79</v>
      </c>
      <c r="D74" s="75">
        <v>1022.8</v>
      </c>
      <c r="E74" s="13"/>
      <c r="F74" s="13">
        <v>19.59</v>
      </c>
      <c r="G74" s="13">
        <f t="shared" si="27"/>
        <v>20036.651999999998</v>
      </c>
      <c r="H74" s="13">
        <v>0</v>
      </c>
      <c r="I74" s="270">
        <v>0</v>
      </c>
      <c r="J74" s="13">
        <f t="shared" si="28"/>
        <v>0</v>
      </c>
      <c r="K74" s="13">
        <f t="shared" si="29"/>
        <v>0</v>
      </c>
      <c r="L74" s="13">
        <f t="shared" si="30"/>
        <v>0</v>
      </c>
      <c r="M74" s="13">
        <f t="shared" si="31"/>
        <v>0</v>
      </c>
      <c r="N74" s="62">
        <f t="shared" si="8"/>
        <v>0</v>
      </c>
    </row>
    <row r="75" spans="1:14" ht="36.75" customHeight="1" x14ac:dyDescent="0.2">
      <c r="A75" s="73" t="s">
        <v>865</v>
      </c>
      <c r="B75" s="73" t="s">
        <v>866</v>
      </c>
      <c r="C75" s="74" t="s">
        <v>79</v>
      </c>
      <c r="D75" s="75">
        <v>7725.41</v>
      </c>
      <c r="E75" s="13"/>
      <c r="F75" s="13">
        <v>18.34</v>
      </c>
      <c r="G75" s="13">
        <f t="shared" si="27"/>
        <v>141684.01939999999</v>
      </c>
      <c r="H75" s="13">
        <v>0</v>
      </c>
      <c r="I75" s="13">
        <f>'RESUMO MEM.'!E213</f>
        <v>5276.5</v>
      </c>
      <c r="J75" s="13">
        <f t="shared" si="28"/>
        <v>5276.5</v>
      </c>
      <c r="K75" s="13">
        <f t="shared" si="29"/>
        <v>0</v>
      </c>
      <c r="L75" s="13">
        <f t="shared" si="30"/>
        <v>96771.01</v>
      </c>
      <c r="M75" s="13">
        <f t="shared" si="31"/>
        <v>96771.01</v>
      </c>
      <c r="N75" s="62">
        <f t="shared" si="8"/>
        <v>0.68300582105027441</v>
      </c>
    </row>
    <row r="76" spans="1:14" ht="35.25" hidden="1" customHeight="1" x14ac:dyDescent="0.2">
      <c r="A76" s="73" t="s">
        <v>867</v>
      </c>
      <c r="B76" s="73" t="s">
        <v>868</v>
      </c>
      <c r="C76" s="74" t="s">
        <v>79</v>
      </c>
      <c r="D76" s="75">
        <v>2501.62</v>
      </c>
      <c r="E76" s="13"/>
      <c r="F76" s="13">
        <v>14.61</v>
      </c>
      <c r="G76" s="13">
        <f t="shared" si="27"/>
        <v>36548.6682</v>
      </c>
      <c r="H76" s="13">
        <v>0</v>
      </c>
      <c r="I76" s="270">
        <v>0</v>
      </c>
      <c r="J76" s="13">
        <f t="shared" si="28"/>
        <v>0</v>
      </c>
      <c r="K76" s="13">
        <f t="shared" si="29"/>
        <v>0</v>
      </c>
      <c r="L76" s="13">
        <f t="shared" si="30"/>
        <v>0</v>
      </c>
      <c r="M76" s="13">
        <f t="shared" si="31"/>
        <v>0</v>
      </c>
      <c r="N76" s="62">
        <f t="shared" si="8"/>
        <v>0</v>
      </c>
    </row>
    <row r="77" spans="1:14" ht="34.5" hidden="1" customHeight="1" x14ac:dyDescent="0.2">
      <c r="A77" s="73" t="s">
        <v>869</v>
      </c>
      <c r="B77" s="73" t="s">
        <v>870</v>
      </c>
      <c r="C77" s="74" t="s">
        <v>79</v>
      </c>
      <c r="D77" s="75">
        <v>6.1</v>
      </c>
      <c r="E77" s="13"/>
      <c r="F77" s="13">
        <v>13.92</v>
      </c>
      <c r="G77" s="13">
        <f t="shared" si="27"/>
        <v>84.911999999999992</v>
      </c>
      <c r="H77" s="13">
        <v>0</v>
      </c>
      <c r="I77" s="270">
        <v>0</v>
      </c>
      <c r="J77" s="13">
        <f t="shared" si="28"/>
        <v>0</v>
      </c>
      <c r="K77" s="13">
        <f t="shared" si="29"/>
        <v>0</v>
      </c>
      <c r="L77" s="13">
        <f t="shared" si="30"/>
        <v>0</v>
      </c>
      <c r="M77" s="13">
        <f t="shared" si="31"/>
        <v>0</v>
      </c>
      <c r="N77" s="62">
        <f t="shared" si="8"/>
        <v>0</v>
      </c>
    </row>
    <row r="78" spans="1:14" ht="38.25" hidden="1" customHeight="1" x14ac:dyDescent="0.2">
      <c r="A78" s="73" t="s">
        <v>871</v>
      </c>
      <c r="B78" s="73" t="s">
        <v>872</v>
      </c>
      <c r="C78" s="74" t="s">
        <v>79</v>
      </c>
      <c r="D78" s="75">
        <v>24.1</v>
      </c>
      <c r="E78" s="13"/>
      <c r="F78" s="13">
        <v>13.17</v>
      </c>
      <c r="G78" s="13">
        <f t="shared" si="27"/>
        <v>317.39699999999999</v>
      </c>
      <c r="H78" s="13">
        <v>0</v>
      </c>
      <c r="I78" s="270">
        <v>0</v>
      </c>
      <c r="J78" s="13">
        <f t="shared" si="28"/>
        <v>0</v>
      </c>
      <c r="K78" s="13">
        <f t="shared" si="29"/>
        <v>0</v>
      </c>
      <c r="L78" s="13">
        <f t="shared" si="30"/>
        <v>0</v>
      </c>
      <c r="M78" s="13">
        <f t="shared" si="31"/>
        <v>0</v>
      </c>
      <c r="N78" s="62">
        <f t="shared" si="8"/>
        <v>0</v>
      </c>
    </row>
    <row r="79" spans="1:14" ht="24.75" customHeight="1" x14ac:dyDescent="0.2">
      <c r="A79" s="73" t="s">
        <v>873</v>
      </c>
      <c r="B79" s="73" t="s">
        <v>874</v>
      </c>
      <c r="C79" s="74" t="s">
        <v>31</v>
      </c>
      <c r="D79" s="75">
        <v>1444.91185</v>
      </c>
      <c r="E79" s="13"/>
      <c r="F79" s="13">
        <v>159.19</v>
      </c>
      <c r="G79" s="13">
        <f>(D79*F79)</f>
        <v>230015.51740149999</v>
      </c>
      <c r="H79" s="13">
        <v>0</v>
      </c>
      <c r="I79" s="13">
        <f>'RESUMO MEM.'!E219</f>
        <v>1156.28</v>
      </c>
      <c r="J79" s="13">
        <f t="shared" si="28"/>
        <v>1156.28</v>
      </c>
      <c r="K79" s="13">
        <f t="shared" si="29"/>
        <v>0</v>
      </c>
      <c r="L79" s="13">
        <f t="shared" si="30"/>
        <v>184068.2132</v>
      </c>
      <c r="M79" s="13">
        <f t="shared" si="31"/>
        <v>184068.2132</v>
      </c>
      <c r="N79" s="62">
        <f t="shared" si="8"/>
        <v>0.80024258919324387</v>
      </c>
    </row>
    <row r="80" spans="1:14" ht="42" customHeight="1" x14ac:dyDescent="0.2">
      <c r="A80" s="73" t="s">
        <v>875</v>
      </c>
      <c r="B80" s="73" t="s">
        <v>876</v>
      </c>
      <c r="C80" s="74" t="s">
        <v>59</v>
      </c>
      <c r="D80" s="75">
        <v>186.68463</v>
      </c>
      <c r="E80" s="13"/>
      <c r="F80" s="13">
        <v>641.38</v>
      </c>
      <c r="G80" s="13">
        <f t="shared" si="27"/>
        <v>119735.78798939999</v>
      </c>
      <c r="H80" s="13">
        <v>0</v>
      </c>
      <c r="I80" s="13">
        <f>'RESUMO MEM.'!E225</f>
        <v>152.26</v>
      </c>
      <c r="J80" s="13">
        <f t="shared" si="28"/>
        <v>152.26</v>
      </c>
      <c r="K80" s="13">
        <f t="shared" si="29"/>
        <v>0</v>
      </c>
      <c r="L80" s="13">
        <f t="shared" si="30"/>
        <v>97656.518799999991</v>
      </c>
      <c r="M80" s="13">
        <f t="shared" si="31"/>
        <v>97656.518799999991</v>
      </c>
      <c r="N80" s="62">
        <f t="shared" si="8"/>
        <v>0.81560008448472698</v>
      </c>
    </row>
    <row r="81" spans="1:14" ht="33" customHeight="1" x14ac:dyDescent="0.2">
      <c r="A81" s="73" t="s">
        <v>877</v>
      </c>
      <c r="B81" s="73" t="s">
        <v>878</v>
      </c>
      <c r="C81" s="74" t="s">
        <v>31</v>
      </c>
      <c r="D81" s="75">
        <v>1444.9110000000001</v>
      </c>
      <c r="E81" s="13"/>
      <c r="F81" s="13">
        <v>72.489999999999995</v>
      </c>
      <c r="G81" s="13">
        <f>(D81*F81)</f>
        <v>104741.59839</v>
      </c>
      <c r="H81" s="13">
        <v>0</v>
      </c>
      <c r="I81" s="13">
        <f>'RESUMO MEM.'!E231</f>
        <v>1156.28</v>
      </c>
      <c r="J81" s="13">
        <f t="shared" si="28"/>
        <v>1156.28</v>
      </c>
      <c r="K81" s="13">
        <f t="shared" si="29"/>
        <v>0</v>
      </c>
      <c r="L81" s="13">
        <f t="shared" si="30"/>
        <v>83818.737199999989</v>
      </c>
      <c r="M81" s="13">
        <f t="shared" si="31"/>
        <v>83818.737199999989</v>
      </c>
      <c r="N81" s="62">
        <f t="shared" si="8"/>
        <v>0.80024305995317346</v>
      </c>
    </row>
    <row r="82" spans="1:14" ht="24.75" customHeight="1" x14ac:dyDescent="0.2">
      <c r="A82" s="16" t="s">
        <v>132</v>
      </c>
      <c r="B82" s="16" t="s">
        <v>133</v>
      </c>
      <c r="C82" s="16"/>
      <c r="D82" s="20"/>
      <c r="E82" s="19"/>
      <c r="F82" s="19"/>
      <c r="G82" s="20">
        <f t="shared" ref="G82" si="32">SUM(G83:G87)</f>
        <v>628559.65612191008</v>
      </c>
      <c r="H82" s="20"/>
      <c r="I82" s="19"/>
      <c r="J82" s="20"/>
      <c r="K82" s="20">
        <f t="shared" ref="K82:L82" si="33">SUM(K83:K87)</f>
        <v>21150.1944</v>
      </c>
      <c r="L82" s="20">
        <f t="shared" si="33"/>
        <v>33800.86952</v>
      </c>
      <c r="M82" s="20">
        <f>SUM(M83:M87)</f>
        <v>54951.063920000001</v>
      </c>
      <c r="N82" s="61">
        <f t="shared" si="8"/>
        <v>8.742378449650634E-2</v>
      </c>
    </row>
    <row r="83" spans="1:14" ht="42.75" customHeight="1" x14ac:dyDescent="0.2">
      <c r="A83" s="11" t="s">
        <v>134</v>
      </c>
      <c r="B83" s="11" t="s">
        <v>135</v>
      </c>
      <c r="C83" s="12" t="s">
        <v>31</v>
      </c>
      <c r="D83" s="13">
        <v>3301.92</v>
      </c>
      <c r="E83" s="13">
        <f>[1]CPUs!I573</f>
        <v>48.97</v>
      </c>
      <c r="F83" s="13">
        <v>60.54</v>
      </c>
      <c r="G83" s="13">
        <f>(F83*D83)</f>
        <v>199898.23680000001</v>
      </c>
      <c r="H83" s="13">
        <v>349.36</v>
      </c>
      <c r="I83" s="13">
        <f>'RESUMO MEM.'!E238</f>
        <v>362.89299999999992</v>
      </c>
      <c r="J83" s="13">
        <f>H83+I83</f>
        <v>712.25299999999993</v>
      </c>
      <c r="K83" s="13">
        <f>(H83*F83)-0.06</f>
        <v>21150.1944</v>
      </c>
      <c r="L83" s="13">
        <f>I83*F83</f>
        <v>21969.542219999996</v>
      </c>
      <c r="M83" s="13">
        <f>(J83*F83)-0.06</f>
        <v>43119.736619999996</v>
      </c>
      <c r="N83" s="62">
        <f t="shared" si="8"/>
        <v>0.21570843900510078</v>
      </c>
    </row>
    <row r="84" spans="1:14" ht="24.75" hidden="1" customHeight="1" x14ac:dyDescent="0.2">
      <c r="A84" s="11" t="s">
        <v>136</v>
      </c>
      <c r="B84" s="11" t="s">
        <v>137</v>
      </c>
      <c r="C84" s="12" t="s">
        <v>31</v>
      </c>
      <c r="D84" s="13">
        <v>1582.23</v>
      </c>
      <c r="E84" s="13">
        <f>[1]CPUs!I584</f>
        <v>133.0293231</v>
      </c>
      <c r="F84" s="13">
        <v>164.46415214852999</v>
      </c>
      <c r="G84" s="13">
        <f>(F84*D84)</f>
        <v>260220.11545396861</v>
      </c>
      <c r="H84" s="13">
        <v>0</v>
      </c>
      <c r="I84" s="13">
        <v>0</v>
      </c>
      <c r="J84" s="13">
        <f>H84+I84</f>
        <v>0</v>
      </c>
      <c r="K84" s="13">
        <f>H84*F84</f>
        <v>0</v>
      </c>
      <c r="L84" s="13">
        <f>I84*F84</f>
        <v>0</v>
      </c>
      <c r="M84" s="13">
        <f>J84*F84</f>
        <v>0</v>
      </c>
      <c r="N84" s="62">
        <f t="shared" si="8"/>
        <v>0</v>
      </c>
    </row>
    <row r="85" spans="1:14" ht="24.75" hidden="1" customHeight="1" x14ac:dyDescent="0.2">
      <c r="A85" s="11" t="s">
        <v>138</v>
      </c>
      <c r="B85" s="11" t="s">
        <v>139</v>
      </c>
      <c r="C85" s="12" t="s">
        <v>31</v>
      </c>
      <c r="D85" s="13">
        <v>69.7</v>
      </c>
      <c r="E85" s="13">
        <f>[1]CPUs!I601</f>
        <v>454.69917899999996</v>
      </c>
      <c r="F85" s="13">
        <v>562.14459499769998</v>
      </c>
      <c r="G85" s="13">
        <f>(F85*D85)</f>
        <v>39181.478271339693</v>
      </c>
      <c r="H85" s="13">
        <v>0</v>
      </c>
      <c r="I85" s="13">
        <v>0</v>
      </c>
      <c r="J85" s="13">
        <f>H85+I85</f>
        <v>0</v>
      </c>
      <c r="K85" s="13">
        <f>H85*F85</f>
        <v>0</v>
      </c>
      <c r="L85" s="13">
        <f>I85*F85</f>
        <v>0</v>
      </c>
      <c r="M85" s="13">
        <f>J85*F85</f>
        <v>0</v>
      </c>
      <c r="N85" s="62">
        <f t="shared" si="8"/>
        <v>0</v>
      </c>
    </row>
    <row r="86" spans="1:14" ht="24.75" customHeight="1" x14ac:dyDescent="0.2">
      <c r="A86" s="11" t="s">
        <v>140</v>
      </c>
      <c r="B86" s="11" t="s">
        <v>141</v>
      </c>
      <c r="C86" s="12" t="s">
        <v>31</v>
      </c>
      <c r="D86" s="13">
        <v>254.7</v>
      </c>
      <c r="E86" s="13">
        <f>[1]CPUs!I613</f>
        <v>121.35</v>
      </c>
      <c r="F86" s="13">
        <v>150.02000000000001</v>
      </c>
      <c r="G86" s="13">
        <f t="shared" ref="G86:G87" si="34">F86*D86</f>
        <v>38210.093999999997</v>
      </c>
      <c r="H86" s="13">
        <v>0</v>
      </c>
      <c r="I86" s="13">
        <f>'RESUMO MEM.'!E244</f>
        <v>78.865000000000009</v>
      </c>
      <c r="J86" s="13">
        <f>H86+I86</f>
        <v>78.865000000000009</v>
      </c>
      <c r="K86" s="13">
        <f>H86*F86</f>
        <v>0</v>
      </c>
      <c r="L86" s="13">
        <f>I86*F86</f>
        <v>11831.327300000003</v>
      </c>
      <c r="M86" s="13">
        <f>J86*F86</f>
        <v>11831.327300000003</v>
      </c>
      <c r="N86" s="62">
        <f t="shared" si="8"/>
        <v>0.3096387907341972</v>
      </c>
    </row>
    <row r="87" spans="1:14" ht="24.75" hidden="1" customHeight="1" x14ac:dyDescent="0.2">
      <c r="A87" s="11" t="s">
        <v>142</v>
      </c>
      <c r="B87" s="11" t="s">
        <v>143</v>
      </c>
      <c r="C87" s="12" t="s">
        <v>31</v>
      </c>
      <c r="D87" s="13">
        <v>182.58</v>
      </c>
      <c r="E87" s="13">
        <f>[1]CPUs!I624</f>
        <v>403.36814500000003</v>
      </c>
      <c r="F87" s="13">
        <v>498.68403766350002</v>
      </c>
      <c r="G87" s="13">
        <f t="shared" si="34"/>
        <v>91049.731596601836</v>
      </c>
      <c r="H87" s="13">
        <v>0</v>
      </c>
      <c r="I87" s="13">
        <v>0</v>
      </c>
      <c r="J87" s="13">
        <f>H87+I87</f>
        <v>0</v>
      </c>
      <c r="K87" s="13">
        <f>H87*F87</f>
        <v>0</v>
      </c>
      <c r="L87" s="13">
        <f>I87*F87</f>
        <v>0</v>
      </c>
      <c r="M87" s="13">
        <f>J87*F87</f>
        <v>0</v>
      </c>
      <c r="N87" s="62">
        <f t="shared" si="8"/>
        <v>0</v>
      </c>
    </row>
    <row r="88" spans="1:14" ht="24.75" hidden="1" customHeight="1" x14ac:dyDescent="0.2">
      <c r="A88" s="16" t="s">
        <v>144</v>
      </c>
      <c r="B88" s="16" t="s">
        <v>145</v>
      </c>
      <c r="C88" s="16"/>
      <c r="D88" s="20"/>
      <c r="E88" s="19"/>
      <c r="F88" s="19"/>
      <c r="G88" s="20">
        <f t="shared" ref="G88" si="35">SUM(G89:G91)</f>
        <v>184532.17667886865</v>
      </c>
      <c r="H88" s="20"/>
      <c r="I88" s="19"/>
      <c r="J88" s="20"/>
      <c r="K88" s="20">
        <f t="shared" ref="K88:L88" si="36">SUM(K89:K91)</f>
        <v>0</v>
      </c>
      <c r="L88" s="20">
        <f t="shared" si="36"/>
        <v>0</v>
      </c>
      <c r="M88" s="20">
        <f>SUM(M89:M91)</f>
        <v>0</v>
      </c>
      <c r="N88" s="61">
        <f t="shared" si="8"/>
        <v>0</v>
      </c>
    </row>
    <row r="89" spans="1:14" ht="24.75" hidden="1" customHeight="1" x14ac:dyDescent="0.2">
      <c r="A89" s="11" t="s">
        <v>146</v>
      </c>
      <c r="B89" s="11" t="s">
        <v>147</v>
      </c>
      <c r="C89" s="12" t="s">
        <v>46</v>
      </c>
      <c r="D89" s="13">
        <v>942.37</v>
      </c>
      <c r="E89" s="13">
        <f>[1]CPUs!I638</f>
        <v>91.113440000000011</v>
      </c>
      <c r="F89" s="13">
        <v>112.64354587200002</v>
      </c>
      <c r="G89" s="13">
        <f>(F89*D89)</f>
        <v>106151.89832339666</v>
      </c>
      <c r="H89" s="13">
        <v>0</v>
      </c>
      <c r="I89" s="13">
        <v>0</v>
      </c>
      <c r="J89" s="13">
        <f>H89+I89</f>
        <v>0</v>
      </c>
      <c r="K89" s="13">
        <f>H89*F89</f>
        <v>0</v>
      </c>
      <c r="L89" s="13">
        <f>I89*F89</f>
        <v>0</v>
      </c>
      <c r="M89" s="13">
        <f>J89*F89</f>
        <v>0</v>
      </c>
      <c r="N89" s="62">
        <f t="shared" si="8"/>
        <v>0</v>
      </c>
    </row>
    <row r="90" spans="1:14" ht="24.75" hidden="1" customHeight="1" x14ac:dyDescent="0.2">
      <c r="A90" s="11" t="s">
        <v>148</v>
      </c>
      <c r="B90" s="11" t="s">
        <v>149</v>
      </c>
      <c r="C90" s="12" t="s">
        <v>46</v>
      </c>
      <c r="D90" s="13">
        <v>844.5</v>
      </c>
      <c r="E90" s="13">
        <f>[1]CPUs!I649</f>
        <v>21.96</v>
      </c>
      <c r="F90" s="13">
        <v>27.14</v>
      </c>
      <c r="G90" s="13">
        <f t="shared" ref="G90" si="37">D90*F90</f>
        <v>22919.73</v>
      </c>
      <c r="H90" s="13">
        <v>0</v>
      </c>
      <c r="I90" s="13">
        <v>0</v>
      </c>
      <c r="J90" s="13">
        <f>H90+I90</f>
        <v>0</v>
      </c>
      <c r="K90" s="13">
        <f>H90*F90</f>
        <v>0</v>
      </c>
      <c r="L90" s="13">
        <f>I90*F90</f>
        <v>0</v>
      </c>
      <c r="M90" s="13">
        <f>J90*F90</f>
        <v>0</v>
      </c>
      <c r="N90" s="62">
        <f t="shared" si="8"/>
        <v>0</v>
      </c>
    </row>
    <row r="91" spans="1:14" ht="24.75" hidden="1" customHeight="1" x14ac:dyDescent="0.2">
      <c r="A91" s="11" t="s">
        <v>150</v>
      </c>
      <c r="B91" s="11" t="s">
        <v>151</v>
      </c>
      <c r="C91" s="12" t="s">
        <v>31</v>
      </c>
      <c r="D91" s="13">
        <v>706.77</v>
      </c>
      <c r="E91" s="13">
        <f>[1]CPUs!I660</f>
        <v>63.472000000000008</v>
      </c>
      <c r="F91" s="13">
        <v>78.470433600000007</v>
      </c>
      <c r="G91" s="13">
        <f>(F91*D91)</f>
        <v>55460.548355472005</v>
      </c>
      <c r="H91" s="13">
        <v>0</v>
      </c>
      <c r="I91" s="13">
        <v>0</v>
      </c>
      <c r="J91" s="13">
        <f>H91+I91</f>
        <v>0</v>
      </c>
      <c r="K91" s="13">
        <f>H91*F91</f>
        <v>0</v>
      </c>
      <c r="L91" s="13">
        <f>I91*F91</f>
        <v>0</v>
      </c>
      <c r="M91" s="13">
        <f>J91*F91</f>
        <v>0</v>
      </c>
      <c r="N91" s="62">
        <f t="shared" si="8"/>
        <v>0</v>
      </c>
    </row>
    <row r="92" spans="1:14" ht="24.75" hidden="1" customHeight="1" x14ac:dyDescent="0.2">
      <c r="A92" s="16" t="s">
        <v>152</v>
      </c>
      <c r="B92" s="16" t="s">
        <v>153</v>
      </c>
      <c r="C92" s="16"/>
      <c r="D92" s="20"/>
      <c r="E92" s="19"/>
      <c r="F92" s="19"/>
      <c r="G92" s="20">
        <f t="shared" ref="G92" si="38">G93+G102</f>
        <v>252505.08313039527</v>
      </c>
      <c r="H92" s="20"/>
      <c r="I92" s="19"/>
      <c r="J92" s="20"/>
      <c r="K92" s="20">
        <f t="shared" ref="K92" si="39">K93+K102</f>
        <v>0</v>
      </c>
      <c r="L92" s="20">
        <f t="shared" ref="L92" si="40">L93+L102</f>
        <v>0</v>
      </c>
      <c r="M92" s="20">
        <f>M93+M102</f>
        <v>0</v>
      </c>
      <c r="N92" s="61">
        <f t="shared" si="8"/>
        <v>0</v>
      </c>
    </row>
    <row r="93" spans="1:14" ht="24.75" hidden="1" customHeight="1" x14ac:dyDescent="0.2">
      <c r="A93" s="16" t="s">
        <v>154</v>
      </c>
      <c r="B93" s="16" t="s">
        <v>155</v>
      </c>
      <c r="C93" s="16"/>
      <c r="D93" s="20"/>
      <c r="E93" s="19"/>
      <c r="F93" s="19"/>
      <c r="G93" s="20">
        <f t="shared" ref="G93" si="41">SUM(G94:G101)</f>
        <v>127508.40830165549</v>
      </c>
      <c r="H93" s="20"/>
      <c r="I93" s="19"/>
      <c r="J93" s="20"/>
      <c r="K93" s="20">
        <f t="shared" ref="K93" si="42">SUM(K94:K101)</f>
        <v>0</v>
      </c>
      <c r="L93" s="20">
        <f t="shared" ref="L93" si="43">SUM(L94:L101)</f>
        <v>0</v>
      </c>
      <c r="M93" s="20">
        <f>SUM(M94:M101)</f>
        <v>0</v>
      </c>
      <c r="N93" s="61">
        <f t="shared" si="8"/>
        <v>0</v>
      </c>
    </row>
    <row r="94" spans="1:14" ht="24.75" hidden="1" customHeight="1" x14ac:dyDescent="0.2">
      <c r="A94" s="11" t="s">
        <v>156</v>
      </c>
      <c r="B94" s="11" t="s">
        <v>157</v>
      </c>
      <c r="C94" s="12" t="s">
        <v>46</v>
      </c>
      <c r="D94" s="13">
        <v>249</v>
      </c>
      <c r="E94" s="13">
        <f>[1]CPUs!I670</f>
        <v>21.754468079999995</v>
      </c>
      <c r="F94" s="13">
        <v>26.895048887303993</v>
      </c>
      <c r="G94" s="13">
        <f>(F94*D94)</f>
        <v>6696.8671729386942</v>
      </c>
      <c r="H94" s="13">
        <v>0</v>
      </c>
      <c r="I94" s="13">
        <v>0</v>
      </c>
      <c r="J94" s="13">
        <f t="shared" ref="J94:J101" si="44">H94+I94</f>
        <v>0</v>
      </c>
      <c r="K94" s="13">
        <f t="shared" ref="K94:K101" si="45">H94*F94</f>
        <v>0</v>
      </c>
      <c r="L94" s="13">
        <f t="shared" ref="L94:L101" si="46">I94*F94</f>
        <v>0</v>
      </c>
      <c r="M94" s="13">
        <f t="shared" ref="M94:M101" si="47">J94*F94</f>
        <v>0</v>
      </c>
      <c r="N94" s="62">
        <f t="shared" ref="N94:N102" si="48">M94/G94</f>
        <v>0</v>
      </c>
    </row>
    <row r="95" spans="1:14" ht="24.75" hidden="1" customHeight="1" x14ac:dyDescent="0.2">
      <c r="A95" s="11" t="s">
        <v>158</v>
      </c>
      <c r="B95" s="11" t="s">
        <v>159</v>
      </c>
      <c r="C95" s="12" t="s">
        <v>46</v>
      </c>
      <c r="D95" s="13">
        <v>504.04</v>
      </c>
      <c r="E95" s="13">
        <f>[1]CPUs!I677</f>
        <v>41.924965599999993</v>
      </c>
      <c r="F95" s="13">
        <v>51.831834971279989</v>
      </c>
      <c r="G95" s="13">
        <f>(F95*D95)</f>
        <v>26125.318098923966</v>
      </c>
      <c r="H95" s="13">
        <v>0</v>
      </c>
      <c r="I95" s="13">
        <v>0</v>
      </c>
      <c r="J95" s="13">
        <f t="shared" si="44"/>
        <v>0</v>
      </c>
      <c r="K95" s="13">
        <f t="shared" si="45"/>
        <v>0</v>
      </c>
      <c r="L95" s="13">
        <f t="shared" si="46"/>
        <v>0</v>
      </c>
      <c r="M95" s="13">
        <f t="shared" si="47"/>
        <v>0</v>
      </c>
      <c r="N95" s="62">
        <f t="shared" si="48"/>
        <v>0</v>
      </c>
    </row>
    <row r="96" spans="1:14" ht="24.75" hidden="1" customHeight="1" x14ac:dyDescent="0.2">
      <c r="A96" s="11" t="s">
        <v>160</v>
      </c>
      <c r="B96" s="11" t="s">
        <v>161</v>
      </c>
      <c r="C96" s="12" t="s">
        <v>46</v>
      </c>
      <c r="D96" s="13">
        <v>168.34</v>
      </c>
      <c r="E96" s="13">
        <f>[1]CPUs!I684</f>
        <v>33.394647919999997</v>
      </c>
      <c r="F96" s="13">
        <v>41.285803223495996</v>
      </c>
      <c r="G96" s="13">
        <f t="shared" ref="G96:G99" si="49">F96*D96</f>
        <v>6950.0521146433166</v>
      </c>
      <c r="H96" s="13">
        <v>0</v>
      </c>
      <c r="I96" s="13">
        <v>0</v>
      </c>
      <c r="J96" s="13">
        <f t="shared" si="44"/>
        <v>0</v>
      </c>
      <c r="K96" s="13">
        <f t="shared" si="45"/>
        <v>0</v>
      </c>
      <c r="L96" s="13">
        <f t="shared" si="46"/>
        <v>0</v>
      </c>
      <c r="M96" s="13">
        <f t="shared" si="47"/>
        <v>0</v>
      </c>
      <c r="N96" s="62">
        <f t="shared" si="48"/>
        <v>0</v>
      </c>
    </row>
    <row r="97" spans="1:14" ht="24.75" hidden="1" customHeight="1" x14ac:dyDescent="0.2">
      <c r="A97" s="11" t="s">
        <v>162</v>
      </c>
      <c r="B97" s="11" t="s">
        <v>163</v>
      </c>
      <c r="C97" s="12" t="s">
        <v>46</v>
      </c>
      <c r="D97" s="13">
        <v>327.12</v>
      </c>
      <c r="E97" s="13">
        <f>[1]CPUs!I691</f>
        <v>55.781244319999999</v>
      </c>
      <c r="F97" s="13">
        <v>68.962352352815998</v>
      </c>
      <c r="G97" s="13">
        <f t="shared" si="49"/>
        <v>22558.964701653171</v>
      </c>
      <c r="H97" s="13">
        <v>0</v>
      </c>
      <c r="I97" s="13">
        <v>0</v>
      </c>
      <c r="J97" s="13">
        <f t="shared" si="44"/>
        <v>0</v>
      </c>
      <c r="K97" s="13">
        <f t="shared" si="45"/>
        <v>0</v>
      </c>
      <c r="L97" s="13">
        <f t="shared" si="46"/>
        <v>0</v>
      </c>
      <c r="M97" s="13">
        <f t="shared" si="47"/>
        <v>0</v>
      </c>
      <c r="N97" s="62">
        <f t="shared" si="48"/>
        <v>0</v>
      </c>
    </row>
    <row r="98" spans="1:14" ht="24.75" hidden="1" customHeight="1" x14ac:dyDescent="0.2">
      <c r="A98" s="11" t="s">
        <v>164</v>
      </c>
      <c r="B98" s="11" t="s">
        <v>165</v>
      </c>
      <c r="C98" s="12" t="s">
        <v>46</v>
      </c>
      <c r="D98" s="13">
        <v>260</v>
      </c>
      <c r="E98" s="13">
        <f>[1]CPUs!I701</f>
        <v>50.583785119999995</v>
      </c>
      <c r="F98" s="13">
        <v>62.536733543855995</v>
      </c>
      <c r="G98" s="13">
        <f t="shared" si="49"/>
        <v>16259.550721402558</v>
      </c>
      <c r="H98" s="13">
        <v>0</v>
      </c>
      <c r="I98" s="13">
        <v>0</v>
      </c>
      <c r="J98" s="13">
        <f t="shared" si="44"/>
        <v>0</v>
      </c>
      <c r="K98" s="13">
        <f t="shared" si="45"/>
        <v>0</v>
      </c>
      <c r="L98" s="13">
        <f t="shared" si="46"/>
        <v>0</v>
      </c>
      <c r="M98" s="13">
        <f t="shared" si="47"/>
        <v>0</v>
      </c>
      <c r="N98" s="62">
        <f t="shared" si="48"/>
        <v>0</v>
      </c>
    </row>
    <row r="99" spans="1:14" ht="24.75" hidden="1" customHeight="1" x14ac:dyDescent="0.2">
      <c r="A99" s="11" t="s">
        <v>166</v>
      </c>
      <c r="B99" s="11" t="s">
        <v>167</v>
      </c>
      <c r="C99" s="12" t="s">
        <v>46</v>
      </c>
      <c r="D99" s="13">
        <v>124</v>
      </c>
      <c r="E99" s="13">
        <f>[1]CPUs!I708</f>
        <v>76.955122159999988</v>
      </c>
      <c r="F99" s="13">
        <v>95.139617526407989</v>
      </c>
      <c r="G99" s="13">
        <f t="shared" si="49"/>
        <v>11797.31257327459</v>
      </c>
      <c r="H99" s="13">
        <v>0</v>
      </c>
      <c r="I99" s="13">
        <v>0</v>
      </c>
      <c r="J99" s="13">
        <f t="shared" si="44"/>
        <v>0</v>
      </c>
      <c r="K99" s="13">
        <f t="shared" si="45"/>
        <v>0</v>
      </c>
      <c r="L99" s="13">
        <f t="shared" si="46"/>
        <v>0</v>
      </c>
      <c r="M99" s="13">
        <f t="shared" si="47"/>
        <v>0</v>
      </c>
      <c r="N99" s="62">
        <f t="shared" si="48"/>
        <v>0</v>
      </c>
    </row>
    <row r="100" spans="1:14" ht="24.75" hidden="1" customHeight="1" x14ac:dyDescent="0.2">
      <c r="A100" s="11" t="s">
        <v>168</v>
      </c>
      <c r="B100" s="11" t="s">
        <v>169</v>
      </c>
      <c r="C100" s="12" t="s">
        <v>46</v>
      </c>
      <c r="D100" s="13">
        <v>260</v>
      </c>
      <c r="E100" s="13">
        <f>[1]CPUs!I718</f>
        <v>88.776238399999983</v>
      </c>
      <c r="F100" s="13">
        <v>109.75406353391998</v>
      </c>
      <c r="G100" s="13">
        <f>(F100*D100)</f>
        <v>28536.056518819194</v>
      </c>
      <c r="H100" s="13">
        <v>0</v>
      </c>
      <c r="I100" s="13">
        <v>0</v>
      </c>
      <c r="J100" s="13">
        <f t="shared" si="44"/>
        <v>0</v>
      </c>
      <c r="K100" s="13">
        <f t="shared" si="45"/>
        <v>0</v>
      </c>
      <c r="L100" s="13">
        <f t="shared" si="46"/>
        <v>0</v>
      </c>
      <c r="M100" s="13">
        <f t="shared" si="47"/>
        <v>0</v>
      </c>
      <c r="N100" s="62">
        <f t="shared" si="48"/>
        <v>0</v>
      </c>
    </row>
    <row r="101" spans="1:14" ht="24.75" hidden="1" customHeight="1" x14ac:dyDescent="0.2">
      <c r="A101" s="11" t="s">
        <v>170</v>
      </c>
      <c r="B101" s="11" t="s">
        <v>171</v>
      </c>
      <c r="C101" s="12" t="s">
        <v>172</v>
      </c>
      <c r="D101" s="13">
        <v>59.58</v>
      </c>
      <c r="E101" s="13">
        <f>[1]CPUs!I728</f>
        <v>124.54</v>
      </c>
      <c r="F101" s="13">
        <v>144.08000000000001</v>
      </c>
      <c r="G101" s="13">
        <f>(F101*D101)</f>
        <v>8584.2864000000009</v>
      </c>
      <c r="H101" s="13">
        <v>0</v>
      </c>
      <c r="I101" s="13">
        <v>0</v>
      </c>
      <c r="J101" s="13">
        <f t="shared" si="44"/>
        <v>0</v>
      </c>
      <c r="K101" s="13">
        <f t="shared" si="45"/>
        <v>0</v>
      </c>
      <c r="L101" s="13">
        <f t="shared" si="46"/>
        <v>0</v>
      </c>
      <c r="M101" s="13">
        <f t="shared" si="47"/>
        <v>0</v>
      </c>
      <c r="N101" s="62">
        <f t="shared" si="48"/>
        <v>0</v>
      </c>
    </row>
    <row r="102" spans="1:14" ht="24.75" hidden="1" customHeight="1" x14ac:dyDescent="0.2">
      <c r="A102" s="16" t="s">
        <v>173</v>
      </c>
      <c r="B102" s="16" t="s">
        <v>174</v>
      </c>
      <c r="C102" s="16"/>
      <c r="D102" s="20"/>
      <c r="E102" s="19"/>
      <c r="F102" s="19"/>
      <c r="G102" s="20">
        <f t="shared" ref="G102" si="50">SUM(G103:G105)</f>
        <v>124996.67482873978</v>
      </c>
      <c r="H102" s="20"/>
      <c r="I102" s="19"/>
      <c r="J102" s="20"/>
      <c r="K102" s="20">
        <f t="shared" ref="K102:L102" si="51">SUM(K103:K105)</f>
        <v>0</v>
      </c>
      <c r="L102" s="20">
        <f t="shared" si="51"/>
        <v>0</v>
      </c>
      <c r="M102" s="20">
        <f>SUM(M103:M105)</f>
        <v>0</v>
      </c>
      <c r="N102" s="61">
        <f t="shared" si="48"/>
        <v>0</v>
      </c>
    </row>
    <row r="103" spans="1:14" ht="24.75" hidden="1" customHeight="1" x14ac:dyDescent="0.2">
      <c r="A103" s="11" t="s">
        <v>175</v>
      </c>
      <c r="B103" s="11" t="s">
        <v>176</v>
      </c>
      <c r="C103" s="12" t="s">
        <v>46</v>
      </c>
      <c r="D103" s="13">
        <v>2383.16</v>
      </c>
      <c r="E103" s="13">
        <f>[1]CPUs!I734</f>
        <v>2.66</v>
      </c>
      <c r="F103" s="13">
        <v>3.08</v>
      </c>
      <c r="G103" s="13">
        <f>D103*F103</f>
        <v>7340.1327999999994</v>
      </c>
      <c r="H103" s="13">
        <v>0</v>
      </c>
      <c r="I103" s="13">
        <v>0</v>
      </c>
      <c r="J103" s="13">
        <f>H103+I103</f>
        <v>0</v>
      </c>
      <c r="K103" s="13">
        <f>H103*F103</f>
        <v>0</v>
      </c>
      <c r="L103" s="13">
        <f>I103*F103</f>
        <v>0</v>
      </c>
      <c r="M103" s="13">
        <f>J103*F103</f>
        <v>0</v>
      </c>
      <c r="N103" s="62">
        <f t="shared" ref="N103:N107" si="52">M103/G103</f>
        <v>0</v>
      </c>
    </row>
    <row r="104" spans="1:14" ht="24.75" hidden="1" customHeight="1" x14ac:dyDescent="0.2">
      <c r="A104" s="11" t="s">
        <v>177</v>
      </c>
      <c r="B104" s="11" t="s">
        <v>178</v>
      </c>
      <c r="C104" s="12" t="s">
        <v>46</v>
      </c>
      <c r="D104" s="13">
        <v>71.489999999999995</v>
      </c>
      <c r="E104" s="13">
        <f>[1]CPUs!I740</f>
        <v>26.76</v>
      </c>
      <c r="F104" s="13">
        <v>30.96</v>
      </c>
      <c r="G104" s="13">
        <f t="shared" ref="G104:G105" si="53">D104*F104</f>
        <v>2213.3303999999998</v>
      </c>
      <c r="H104" s="13">
        <v>0</v>
      </c>
      <c r="I104" s="13">
        <v>0</v>
      </c>
      <c r="J104" s="13">
        <f>H104+I104</f>
        <v>0</v>
      </c>
      <c r="K104" s="13">
        <f>H104*F104</f>
        <v>0</v>
      </c>
      <c r="L104" s="13">
        <f>I104*F104</f>
        <v>0</v>
      </c>
      <c r="M104" s="13">
        <f>J104*F104</f>
        <v>0</v>
      </c>
      <c r="N104" s="62">
        <f t="shared" si="52"/>
        <v>0</v>
      </c>
    </row>
    <row r="105" spans="1:14" ht="24.75" hidden="1" customHeight="1" x14ac:dyDescent="0.2">
      <c r="A105" s="11" t="s">
        <v>179</v>
      </c>
      <c r="B105" s="11" t="s">
        <v>180</v>
      </c>
      <c r="C105" s="12" t="s">
        <v>46</v>
      </c>
      <c r="D105" s="13">
        <v>3098.11</v>
      </c>
      <c r="E105" s="13">
        <f>[1]CPUs!I746</f>
        <v>30.1403088</v>
      </c>
      <c r="F105" s="13">
        <v>37.262463769440004</v>
      </c>
      <c r="G105" s="13">
        <f t="shared" si="53"/>
        <v>115443.21162873978</v>
      </c>
      <c r="H105" s="13">
        <v>0</v>
      </c>
      <c r="I105" s="13">
        <v>0</v>
      </c>
      <c r="J105" s="13">
        <f>H105+I105</f>
        <v>0</v>
      </c>
      <c r="K105" s="13">
        <f>H105*F105</f>
        <v>0</v>
      </c>
      <c r="L105" s="13">
        <f>I105*F105</f>
        <v>0</v>
      </c>
      <c r="M105" s="13">
        <f>J105*F105</f>
        <v>0</v>
      </c>
      <c r="N105" s="62">
        <f t="shared" si="52"/>
        <v>0</v>
      </c>
    </row>
    <row r="106" spans="1:14" ht="24.75" hidden="1" customHeight="1" x14ac:dyDescent="0.2">
      <c r="A106" s="16" t="s">
        <v>181</v>
      </c>
      <c r="B106" s="16" t="s">
        <v>182</v>
      </c>
      <c r="C106" s="16"/>
      <c r="D106" s="20"/>
      <c r="E106" s="19"/>
      <c r="F106" s="19"/>
      <c r="G106" s="20">
        <f t="shared" ref="G106" si="54">G107+G112+G115</f>
        <v>680598.79581731744</v>
      </c>
      <c r="H106" s="20"/>
      <c r="I106" s="19"/>
      <c r="J106" s="20"/>
      <c r="K106" s="20">
        <f t="shared" ref="K106" si="55">K107+K112+K115</f>
        <v>0</v>
      </c>
      <c r="L106" s="20">
        <f t="shared" ref="L106" si="56">L107+L112+L115</f>
        <v>0</v>
      </c>
      <c r="M106" s="20">
        <f>M107+M112+M115</f>
        <v>0</v>
      </c>
      <c r="N106" s="61">
        <f t="shared" si="52"/>
        <v>0</v>
      </c>
    </row>
    <row r="107" spans="1:14" ht="24.75" hidden="1" customHeight="1" x14ac:dyDescent="0.2">
      <c r="A107" s="16" t="s">
        <v>183</v>
      </c>
      <c r="B107" s="16" t="s">
        <v>184</v>
      </c>
      <c r="C107" s="16"/>
      <c r="D107" s="20"/>
      <c r="E107" s="19"/>
      <c r="F107" s="19"/>
      <c r="G107" s="20">
        <f t="shared" ref="G107" si="57">SUM(G108:G111)</f>
        <v>434400.74131731747</v>
      </c>
      <c r="H107" s="20"/>
      <c r="I107" s="19"/>
      <c r="J107" s="20"/>
      <c r="K107" s="20">
        <f t="shared" ref="K107" si="58">SUM(K108:K111)</f>
        <v>0</v>
      </c>
      <c r="L107" s="20">
        <f t="shared" ref="L107" si="59">SUM(L108:L111)</f>
        <v>0</v>
      </c>
      <c r="M107" s="20">
        <f>SUM(M108:M111)</f>
        <v>0</v>
      </c>
      <c r="N107" s="61">
        <f t="shared" si="52"/>
        <v>0</v>
      </c>
    </row>
    <row r="108" spans="1:14" ht="24.75" hidden="1" customHeight="1" x14ac:dyDescent="0.2">
      <c r="A108" s="11" t="s">
        <v>185</v>
      </c>
      <c r="B108" s="11" t="s">
        <v>186</v>
      </c>
      <c r="C108" s="12" t="s">
        <v>31</v>
      </c>
      <c r="D108" s="13">
        <v>3991.37</v>
      </c>
      <c r="E108" s="13">
        <f>[1]CPUs!I757</f>
        <v>8.91</v>
      </c>
      <c r="F108" s="13">
        <v>11.01</v>
      </c>
      <c r="G108" s="13">
        <f>D108*F108</f>
        <v>43944.983699999997</v>
      </c>
      <c r="H108" s="13">
        <v>0</v>
      </c>
      <c r="I108" s="13">
        <v>0</v>
      </c>
      <c r="J108" s="13">
        <f>H108+I108</f>
        <v>0</v>
      </c>
      <c r="K108" s="13">
        <f>H108*F108</f>
        <v>0</v>
      </c>
      <c r="L108" s="13">
        <f>I108*F108</f>
        <v>0</v>
      </c>
      <c r="M108" s="13">
        <f>J108*F108</f>
        <v>0</v>
      </c>
      <c r="N108" s="62">
        <f t="shared" ref="N108:N112" si="60">M108/G108</f>
        <v>0</v>
      </c>
    </row>
    <row r="109" spans="1:14" ht="24.75" hidden="1" customHeight="1" x14ac:dyDescent="0.2">
      <c r="A109" s="11" t="s">
        <v>187</v>
      </c>
      <c r="B109" s="11" t="s">
        <v>188</v>
      </c>
      <c r="C109" s="12" t="s">
        <v>31</v>
      </c>
      <c r="D109" s="13">
        <v>3991.37</v>
      </c>
      <c r="E109" s="13">
        <f>[1]CPUs!I765</f>
        <v>31.79</v>
      </c>
      <c r="F109" s="13">
        <v>39.299999999999997</v>
      </c>
      <c r="G109" s="13">
        <f t="shared" ref="G109" si="61">D109*F109</f>
        <v>156860.84099999999</v>
      </c>
      <c r="H109" s="13">
        <v>0</v>
      </c>
      <c r="I109" s="13">
        <v>0</v>
      </c>
      <c r="J109" s="13">
        <f>H109+I109</f>
        <v>0</v>
      </c>
      <c r="K109" s="13">
        <f>H109*F109</f>
        <v>0</v>
      </c>
      <c r="L109" s="13">
        <f>I109*F109</f>
        <v>0</v>
      </c>
      <c r="M109" s="13">
        <f>J109*F109</f>
        <v>0</v>
      </c>
      <c r="N109" s="62">
        <f t="shared" si="60"/>
        <v>0</v>
      </c>
    </row>
    <row r="110" spans="1:14" ht="24.75" hidden="1" customHeight="1" x14ac:dyDescent="0.2">
      <c r="A110" s="11" t="s">
        <v>189</v>
      </c>
      <c r="B110" s="11" t="s">
        <v>190</v>
      </c>
      <c r="C110" s="12" t="s">
        <v>31</v>
      </c>
      <c r="D110" s="13">
        <v>1001.76</v>
      </c>
      <c r="E110" s="13">
        <f>[1]CPUs!I773</f>
        <v>90.87</v>
      </c>
      <c r="F110" s="13">
        <v>112.34</v>
      </c>
      <c r="G110" s="13">
        <f>(F110*D110)</f>
        <v>112537.7184</v>
      </c>
      <c r="H110" s="13">
        <v>0</v>
      </c>
      <c r="I110" s="13">
        <v>0</v>
      </c>
      <c r="J110" s="13">
        <f>H110+I110</f>
        <v>0</v>
      </c>
      <c r="K110" s="13">
        <f>H110*F110</f>
        <v>0</v>
      </c>
      <c r="L110" s="13">
        <f>I110*F110</f>
        <v>0</v>
      </c>
      <c r="M110" s="13">
        <f>J110*F110</f>
        <v>0</v>
      </c>
      <c r="N110" s="62">
        <f t="shared" si="60"/>
        <v>0</v>
      </c>
    </row>
    <row r="111" spans="1:14" ht="24.75" hidden="1" customHeight="1" x14ac:dyDescent="0.2">
      <c r="A111" s="11" t="s">
        <v>191</v>
      </c>
      <c r="B111" s="11" t="s">
        <v>192</v>
      </c>
      <c r="C111" s="12" t="s">
        <v>46</v>
      </c>
      <c r="D111" s="13">
        <v>1947.7</v>
      </c>
      <c r="E111" s="13">
        <f>[1]CPUs!I783</f>
        <v>50.274144</v>
      </c>
      <c r="F111" s="13">
        <v>62.153924227200001</v>
      </c>
      <c r="G111" s="13">
        <f>(F111*D111)</f>
        <v>121057.19821731745</v>
      </c>
      <c r="H111" s="13">
        <v>0</v>
      </c>
      <c r="I111" s="13">
        <v>0</v>
      </c>
      <c r="J111" s="13">
        <f>H111+I111</f>
        <v>0</v>
      </c>
      <c r="K111" s="13">
        <f>H111*F111</f>
        <v>0</v>
      </c>
      <c r="L111" s="13">
        <f>I111*F111</f>
        <v>0</v>
      </c>
      <c r="M111" s="13">
        <f>J111*F111</f>
        <v>0</v>
      </c>
      <c r="N111" s="62">
        <f t="shared" si="60"/>
        <v>0</v>
      </c>
    </row>
    <row r="112" spans="1:14" ht="24.75" hidden="1" customHeight="1" x14ac:dyDescent="0.2">
      <c r="A112" s="16" t="s">
        <v>193</v>
      </c>
      <c r="B112" s="16" t="s">
        <v>194</v>
      </c>
      <c r="C112" s="16"/>
      <c r="D112" s="20"/>
      <c r="E112" s="19"/>
      <c r="F112" s="19"/>
      <c r="G112" s="20">
        <f>SUM(G113:G114)</f>
        <v>216969.965</v>
      </c>
      <c r="H112" s="20"/>
      <c r="I112" s="19"/>
      <c r="J112" s="20"/>
      <c r="K112" s="20">
        <f t="shared" ref="K112:L112" si="62">SUM(K113:K114)</f>
        <v>0</v>
      </c>
      <c r="L112" s="20">
        <f t="shared" si="62"/>
        <v>0</v>
      </c>
      <c r="M112" s="20">
        <f>SUM(M113:M114)</f>
        <v>0</v>
      </c>
      <c r="N112" s="61">
        <f t="shared" si="60"/>
        <v>0</v>
      </c>
    </row>
    <row r="113" spans="1:14" ht="24.75" hidden="1" customHeight="1" x14ac:dyDescent="0.2">
      <c r="A113" s="11" t="s">
        <v>195</v>
      </c>
      <c r="B113" s="11" t="s">
        <v>196</v>
      </c>
      <c r="C113" s="12" t="s">
        <v>31</v>
      </c>
      <c r="D113" s="13">
        <v>3121.87</v>
      </c>
      <c r="E113" s="13">
        <f>[1]CPUs!I792</f>
        <v>49.65</v>
      </c>
      <c r="F113" s="13">
        <v>61.38</v>
      </c>
      <c r="G113" s="13">
        <f>D113*F113</f>
        <v>191620.3806</v>
      </c>
      <c r="H113" s="13">
        <v>0</v>
      </c>
      <c r="I113" s="13">
        <v>0</v>
      </c>
      <c r="J113" s="13">
        <f>H113+I113</f>
        <v>0</v>
      </c>
      <c r="K113" s="13">
        <f>H113*F113</f>
        <v>0</v>
      </c>
      <c r="L113" s="13">
        <f>I113*F113</f>
        <v>0</v>
      </c>
      <c r="M113" s="13">
        <f>J113*F113</f>
        <v>0</v>
      </c>
      <c r="N113" s="62">
        <f t="shared" ref="N113:N115" si="63">M113/G113</f>
        <v>0</v>
      </c>
    </row>
    <row r="114" spans="1:14" ht="24.75" hidden="1" customHeight="1" x14ac:dyDescent="0.2">
      <c r="A114" s="11" t="s">
        <v>197</v>
      </c>
      <c r="B114" s="11" t="s">
        <v>198</v>
      </c>
      <c r="C114" s="12" t="s">
        <v>31</v>
      </c>
      <c r="D114" s="13">
        <v>3121.87</v>
      </c>
      <c r="E114" s="13">
        <f>[1]CPUs!I801</f>
        <v>6.57</v>
      </c>
      <c r="F114" s="13">
        <v>8.1199999999999992</v>
      </c>
      <c r="G114" s="13">
        <f>D114*F114</f>
        <v>25349.584399999996</v>
      </c>
      <c r="H114" s="13">
        <v>0</v>
      </c>
      <c r="I114" s="13">
        <v>0</v>
      </c>
      <c r="J114" s="13">
        <f>H114+I114</f>
        <v>0</v>
      </c>
      <c r="K114" s="13">
        <f>H114*F114</f>
        <v>0</v>
      </c>
      <c r="L114" s="13">
        <f>I114*F114</f>
        <v>0</v>
      </c>
      <c r="M114" s="13">
        <f>J114*F114</f>
        <v>0</v>
      </c>
      <c r="N114" s="62">
        <f t="shared" si="63"/>
        <v>0</v>
      </c>
    </row>
    <row r="115" spans="1:14" ht="24.75" hidden="1" customHeight="1" x14ac:dyDescent="0.2">
      <c r="A115" s="16" t="s">
        <v>199</v>
      </c>
      <c r="B115" s="16" t="s">
        <v>200</v>
      </c>
      <c r="C115" s="16"/>
      <c r="D115" s="20"/>
      <c r="E115" s="19"/>
      <c r="F115" s="19"/>
      <c r="G115" s="20">
        <f t="shared" ref="G115" si="64">SUM(G116)</f>
        <v>29228.089499999998</v>
      </c>
      <c r="H115" s="20"/>
      <c r="I115" s="19"/>
      <c r="J115" s="20"/>
      <c r="K115" s="20">
        <f t="shared" ref="K115:L115" si="65">SUM(K116)</f>
        <v>0</v>
      </c>
      <c r="L115" s="20">
        <f t="shared" si="65"/>
        <v>0</v>
      </c>
      <c r="M115" s="20">
        <f>SUM(M116)</f>
        <v>0</v>
      </c>
      <c r="N115" s="61">
        <f t="shared" si="63"/>
        <v>0</v>
      </c>
    </row>
    <row r="116" spans="1:14" ht="24.75" hidden="1" customHeight="1" x14ac:dyDescent="0.2">
      <c r="A116" s="11" t="s">
        <v>201</v>
      </c>
      <c r="B116" s="11" t="s">
        <v>202</v>
      </c>
      <c r="C116" s="12" t="s">
        <v>31</v>
      </c>
      <c r="D116" s="13">
        <v>921.15</v>
      </c>
      <c r="E116" s="13">
        <f>[1]CPUs!I810</f>
        <v>27.423000000000002</v>
      </c>
      <c r="F116" s="13">
        <v>31.73</v>
      </c>
      <c r="G116" s="13">
        <f>(F116*D116)</f>
        <v>29228.089499999998</v>
      </c>
      <c r="H116" s="13">
        <v>0</v>
      </c>
      <c r="I116" s="13">
        <v>0</v>
      </c>
      <c r="J116" s="13">
        <f>H116+I116</f>
        <v>0</v>
      </c>
      <c r="K116" s="13">
        <f>H116*F116</f>
        <v>0</v>
      </c>
      <c r="L116" s="13">
        <f>I116*F116</f>
        <v>0</v>
      </c>
      <c r="M116" s="13">
        <f>J116*F116</f>
        <v>0</v>
      </c>
      <c r="N116" s="62">
        <f t="shared" ref="N116:N118" si="66">M116/G116</f>
        <v>0</v>
      </c>
    </row>
    <row r="117" spans="1:14" ht="24.75" hidden="1" customHeight="1" x14ac:dyDescent="0.2">
      <c r="A117" s="16" t="s">
        <v>203</v>
      </c>
      <c r="B117" s="16" t="s">
        <v>204</v>
      </c>
      <c r="C117" s="16"/>
      <c r="D117" s="20"/>
      <c r="E117" s="19"/>
      <c r="F117" s="19"/>
      <c r="G117" s="20">
        <f t="shared" ref="G117" si="67">G118+G122</f>
        <v>322157.1067292958</v>
      </c>
      <c r="H117" s="20"/>
      <c r="I117" s="19"/>
      <c r="J117" s="20"/>
      <c r="K117" s="20">
        <f t="shared" ref="K117" si="68">K118+K122</f>
        <v>0</v>
      </c>
      <c r="L117" s="20">
        <f t="shared" ref="L117" si="69">L118+L122</f>
        <v>0</v>
      </c>
      <c r="M117" s="20">
        <f>M118+M122</f>
        <v>0</v>
      </c>
      <c r="N117" s="61">
        <f t="shared" si="66"/>
        <v>0</v>
      </c>
    </row>
    <row r="118" spans="1:14" ht="24.75" hidden="1" customHeight="1" x14ac:dyDescent="0.2">
      <c r="A118" s="16" t="s">
        <v>205</v>
      </c>
      <c r="B118" s="16" t="s">
        <v>206</v>
      </c>
      <c r="C118" s="16"/>
      <c r="D118" s="20"/>
      <c r="E118" s="19"/>
      <c r="F118" s="19"/>
      <c r="G118" s="20">
        <f t="shared" ref="G118" si="70">SUM(G119:G121)</f>
        <v>190733.43628938674</v>
      </c>
      <c r="H118" s="20"/>
      <c r="I118" s="19"/>
      <c r="J118" s="20"/>
      <c r="K118" s="20">
        <f t="shared" ref="K118" si="71">SUM(K119:K121)</f>
        <v>0</v>
      </c>
      <c r="L118" s="20">
        <f t="shared" ref="L118" si="72">SUM(L119:L121)</f>
        <v>0</v>
      </c>
      <c r="M118" s="20">
        <f>SUM(M119:M121)</f>
        <v>0</v>
      </c>
      <c r="N118" s="61">
        <f t="shared" si="66"/>
        <v>0</v>
      </c>
    </row>
    <row r="119" spans="1:14" ht="24.75" hidden="1" customHeight="1" x14ac:dyDescent="0.2">
      <c r="A119" s="11" t="s">
        <v>207</v>
      </c>
      <c r="B119" s="11" t="s">
        <v>208</v>
      </c>
      <c r="C119" s="12" t="s">
        <v>31</v>
      </c>
      <c r="D119" s="13">
        <v>6284.36</v>
      </c>
      <c r="E119" s="13">
        <f>[1]CPUs!I816</f>
        <v>3.1255176000000002</v>
      </c>
      <c r="F119" s="13">
        <v>3.8640774088800001</v>
      </c>
      <c r="G119" s="13">
        <f>D119*F119</f>
        <v>24283.253505269116</v>
      </c>
      <c r="H119" s="13">
        <v>0</v>
      </c>
      <c r="I119" s="13">
        <v>0</v>
      </c>
      <c r="J119" s="13">
        <f>H119+I119</f>
        <v>0</v>
      </c>
      <c r="K119" s="13">
        <f>H119*F119</f>
        <v>0</v>
      </c>
      <c r="L119" s="13">
        <f>I119*F119</f>
        <v>0</v>
      </c>
      <c r="M119" s="13">
        <f>J119*F119</f>
        <v>0</v>
      </c>
      <c r="N119" s="62">
        <f t="shared" ref="N119:N122" si="73">M119/G119</f>
        <v>0</v>
      </c>
    </row>
    <row r="120" spans="1:14" ht="24.75" hidden="1" customHeight="1" x14ac:dyDescent="0.2">
      <c r="A120" s="11" t="s">
        <v>209</v>
      </c>
      <c r="B120" s="11" t="s">
        <v>210</v>
      </c>
      <c r="C120" s="12" t="s">
        <v>31</v>
      </c>
      <c r="D120" s="13">
        <v>6284.36</v>
      </c>
      <c r="E120" s="13">
        <f>[1]CPUs!I824</f>
        <v>13.412023999999999</v>
      </c>
      <c r="F120" s="13">
        <v>16.581285271199999</v>
      </c>
      <c r="G120" s="13">
        <f>(F120*D120)</f>
        <v>104202.76590691842</v>
      </c>
      <c r="H120" s="13">
        <v>0</v>
      </c>
      <c r="I120" s="13">
        <v>0</v>
      </c>
      <c r="J120" s="13">
        <f>H120+I120</f>
        <v>0</v>
      </c>
      <c r="K120" s="13">
        <f>H120*F120</f>
        <v>0</v>
      </c>
      <c r="L120" s="13">
        <f>I120*F120</f>
        <v>0</v>
      </c>
      <c r="M120" s="13">
        <f>J120*F120</f>
        <v>0</v>
      </c>
      <c r="N120" s="62">
        <f t="shared" si="73"/>
        <v>0</v>
      </c>
    </row>
    <row r="121" spans="1:14" ht="24.75" hidden="1" customHeight="1" x14ac:dyDescent="0.2">
      <c r="A121" s="11" t="s">
        <v>211</v>
      </c>
      <c r="B121" s="11" t="s">
        <v>212</v>
      </c>
      <c r="C121" s="12" t="s">
        <v>31</v>
      </c>
      <c r="D121" s="13">
        <v>6284.36</v>
      </c>
      <c r="E121" s="13">
        <f>[1]CPUs!I833</f>
        <v>8.0119164000000005</v>
      </c>
      <c r="F121" s="13">
        <v>9.9051322453200008</v>
      </c>
      <c r="G121" s="13">
        <f>(F121*D121)</f>
        <v>62247.416877199197</v>
      </c>
      <c r="H121" s="13">
        <v>0</v>
      </c>
      <c r="I121" s="13">
        <v>0</v>
      </c>
      <c r="J121" s="13">
        <f>H121+I121</f>
        <v>0</v>
      </c>
      <c r="K121" s="13">
        <f>H121*F121</f>
        <v>0</v>
      </c>
      <c r="L121" s="13">
        <f>I121*F121</f>
        <v>0</v>
      </c>
      <c r="M121" s="13">
        <f>J121*F121</f>
        <v>0</v>
      </c>
      <c r="N121" s="62">
        <f t="shared" si="73"/>
        <v>0</v>
      </c>
    </row>
    <row r="122" spans="1:14" ht="24.75" hidden="1" customHeight="1" x14ac:dyDescent="0.2">
      <c r="A122" s="16" t="s">
        <v>213</v>
      </c>
      <c r="B122" s="16" t="s">
        <v>214</v>
      </c>
      <c r="C122" s="16"/>
      <c r="D122" s="20"/>
      <c r="E122" s="19"/>
      <c r="F122" s="19"/>
      <c r="G122" s="20">
        <f>SUM(G123:G126)</f>
        <v>131423.67043990907</v>
      </c>
      <c r="H122" s="20"/>
      <c r="I122" s="19"/>
      <c r="J122" s="20"/>
      <c r="K122" s="20">
        <f t="shared" ref="K122:L122" si="74">SUM(K123:K126)</f>
        <v>0</v>
      </c>
      <c r="L122" s="20">
        <f t="shared" si="74"/>
        <v>0</v>
      </c>
      <c r="M122" s="20">
        <f>SUM(M123:M126)</f>
        <v>0</v>
      </c>
      <c r="N122" s="61">
        <f t="shared" si="73"/>
        <v>0</v>
      </c>
    </row>
    <row r="123" spans="1:14" ht="24.75" hidden="1" customHeight="1" x14ac:dyDescent="0.2">
      <c r="A123" s="11" t="s">
        <v>215</v>
      </c>
      <c r="B123" s="11" t="s">
        <v>216</v>
      </c>
      <c r="C123" s="12" t="s">
        <v>31</v>
      </c>
      <c r="D123" s="13">
        <v>3121.87</v>
      </c>
      <c r="E123" s="13">
        <f>[1]CPUs!I841</f>
        <v>3.5169600000000001</v>
      </c>
      <c r="F123" s="13">
        <v>4.3480176479999999</v>
      </c>
      <c r="G123" s="13">
        <f>(F123*D123)</f>
        <v>13573.94585476176</v>
      </c>
      <c r="H123" s="13">
        <v>0</v>
      </c>
      <c r="I123" s="13">
        <v>0</v>
      </c>
      <c r="J123" s="13">
        <f>H123+I123</f>
        <v>0</v>
      </c>
      <c r="K123" s="13">
        <f>H123*F123</f>
        <v>0</v>
      </c>
      <c r="L123" s="13">
        <f>I123*F123</f>
        <v>0</v>
      </c>
      <c r="M123" s="13">
        <f>J123*F123</f>
        <v>0</v>
      </c>
      <c r="N123" s="62">
        <f t="shared" ref="N123:N127" si="75">M123/G123</f>
        <v>0</v>
      </c>
    </row>
    <row r="124" spans="1:14" ht="24.75" hidden="1" customHeight="1" x14ac:dyDescent="0.2">
      <c r="A124" s="11" t="s">
        <v>217</v>
      </c>
      <c r="B124" s="11" t="s">
        <v>218</v>
      </c>
      <c r="C124" s="12" t="s">
        <v>31</v>
      </c>
      <c r="D124" s="13">
        <v>3121.87</v>
      </c>
      <c r="E124" s="13">
        <f>[1]CPUs!I849</f>
        <v>14.727829631999999</v>
      </c>
      <c r="F124" s="13">
        <v>18.208015774041598</v>
      </c>
      <c r="G124" s="13">
        <f>(F124*D124)</f>
        <v>56843.058204507244</v>
      </c>
      <c r="H124" s="13">
        <v>0</v>
      </c>
      <c r="I124" s="13">
        <v>0</v>
      </c>
      <c r="J124" s="13">
        <f>H124+I124</f>
        <v>0</v>
      </c>
      <c r="K124" s="13">
        <f>H124*F124</f>
        <v>0</v>
      </c>
      <c r="L124" s="13">
        <f>I124*F124</f>
        <v>0</v>
      </c>
      <c r="M124" s="13">
        <f>J124*F124</f>
        <v>0</v>
      </c>
      <c r="N124" s="62">
        <f t="shared" si="75"/>
        <v>0</v>
      </c>
    </row>
    <row r="125" spans="1:14" ht="24.75" hidden="1" customHeight="1" x14ac:dyDescent="0.2">
      <c r="A125" s="11" t="s">
        <v>219</v>
      </c>
      <c r="B125" s="11" t="s">
        <v>220</v>
      </c>
      <c r="C125" s="12" t="s">
        <v>31</v>
      </c>
      <c r="D125" s="13">
        <v>3121.87</v>
      </c>
      <c r="E125" s="13">
        <f>[1]CPUs!I858</f>
        <v>15.233774400000001</v>
      </c>
      <c r="F125" s="13">
        <v>18.833515290720001</v>
      </c>
      <c r="G125" s="13">
        <f>(F125*D125)</f>
        <v>58795.786380640049</v>
      </c>
      <c r="H125" s="13">
        <v>0</v>
      </c>
      <c r="I125" s="13">
        <v>0</v>
      </c>
      <c r="J125" s="13">
        <f>H125+I125</f>
        <v>0</v>
      </c>
      <c r="K125" s="13">
        <f>H125*F125</f>
        <v>0</v>
      </c>
      <c r="L125" s="13">
        <f>I125*F125</f>
        <v>0</v>
      </c>
      <c r="M125" s="13">
        <f>J125*F125</f>
        <v>0</v>
      </c>
      <c r="N125" s="62">
        <f t="shared" si="75"/>
        <v>0</v>
      </c>
    </row>
    <row r="126" spans="1:14" ht="24.75" hidden="1" customHeight="1" x14ac:dyDescent="0.2">
      <c r="A126" s="11" t="s">
        <v>221</v>
      </c>
      <c r="B126" s="11" t="s">
        <v>222</v>
      </c>
      <c r="C126" s="12" t="s">
        <v>46</v>
      </c>
      <c r="D126" s="13">
        <v>336</v>
      </c>
      <c r="E126" s="13">
        <f>[1]CPUs!I866</f>
        <v>5.33</v>
      </c>
      <c r="F126" s="13">
        <v>6.58</v>
      </c>
      <c r="G126" s="13">
        <f t="shared" ref="G126" si="76">D126*F126</f>
        <v>2210.88</v>
      </c>
      <c r="H126" s="13">
        <v>0</v>
      </c>
      <c r="I126" s="13">
        <v>0</v>
      </c>
      <c r="J126" s="13">
        <f>H126+I126</f>
        <v>0</v>
      </c>
      <c r="K126" s="13">
        <f>H126*F126</f>
        <v>0</v>
      </c>
      <c r="L126" s="13">
        <f>I126*F126</f>
        <v>0</v>
      </c>
      <c r="M126" s="13">
        <f>J126*F126</f>
        <v>0</v>
      </c>
      <c r="N126" s="62">
        <f t="shared" si="75"/>
        <v>0</v>
      </c>
    </row>
    <row r="127" spans="1:14" ht="24.75" customHeight="1" x14ac:dyDescent="0.2">
      <c r="A127" s="16" t="s">
        <v>223</v>
      </c>
      <c r="B127" s="16" t="s">
        <v>224</v>
      </c>
      <c r="C127" s="16"/>
      <c r="D127" s="20"/>
      <c r="E127" s="19"/>
      <c r="F127" s="19"/>
      <c r="G127" s="20">
        <f t="shared" ref="G127" si="77">SUM(G128:G133)</f>
        <v>405463.82541994401</v>
      </c>
      <c r="H127" s="20"/>
      <c r="I127" s="19"/>
      <c r="J127" s="20"/>
      <c r="K127" s="20">
        <f t="shared" ref="K127:L127" si="78">SUM(K128:K133)</f>
        <v>2791.6581225</v>
      </c>
      <c r="L127" s="20">
        <f t="shared" si="78"/>
        <v>0</v>
      </c>
      <c r="M127" s="20">
        <f>SUM(M128:M133)</f>
        <v>2791.6581225</v>
      </c>
      <c r="N127" s="61">
        <f t="shared" si="75"/>
        <v>6.8850978742891408E-3</v>
      </c>
    </row>
    <row r="128" spans="1:14" ht="24.75" hidden="1" customHeight="1" x14ac:dyDescent="0.2">
      <c r="A128" s="11" t="s">
        <v>225</v>
      </c>
      <c r="B128" s="11" t="s">
        <v>226</v>
      </c>
      <c r="C128" s="12" t="s">
        <v>31</v>
      </c>
      <c r="D128" s="13">
        <v>1502.473</v>
      </c>
      <c r="E128" s="13">
        <f>[1]CPUs!I876</f>
        <v>93.527987999999979</v>
      </c>
      <c r="F128" s="13">
        <v>115.62865156439997</v>
      </c>
      <c r="G128" s="13">
        <f>(F128*D128)</f>
        <v>173728.92700191872</v>
      </c>
      <c r="H128" s="13">
        <v>0</v>
      </c>
      <c r="I128" s="13">
        <v>0</v>
      </c>
      <c r="J128" s="13">
        <f t="shared" ref="J128:J133" si="79">H128+I128</f>
        <v>0</v>
      </c>
      <c r="K128" s="13">
        <f t="shared" ref="K128:K133" si="80">H128*F128</f>
        <v>0</v>
      </c>
      <c r="L128" s="13">
        <f t="shared" ref="L128:L133" si="81">I128*F128</f>
        <v>0</v>
      </c>
      <c r="M128" s="13">
        <f t="shared" ref="M128:M133" si="82">J128*F128</f>
        <v>0</v>
      </c>
      <c r="N128" s="62">
        <f t="shared" ref="N128:N134" si="83">M128/G128</f>
        <v>0</v>
      </c>
    </row>
    <row r="129" spans="1:14" ht="24.75" customHeight="1" x14ac:dyDescent="0.2">
      <c r="A129" s="11" t="s">
        <v>227</v>
      </c>
      <c r="B129" s="11" t="s">
        <v>228</v>
      </c>
      <c r="C129" s="12" t="s">
        <v>31</v>
      </c>
      <c r="D129" s="13">
        <v>1502.473</v>
      </c>
      <c r="E129" s="13">
        <f>[1]CPUs!I886</f>
        <v>36.129199999999997</v>
      </c>
      <c r="F129" s="13">
        <v>44.666529959999998</v>
      </c>
      <c r="G129" s="13">
        <f>(F129*D129)</f>
        <v>67110.255268591078</v>
      </c>
      <c r="H129" s="13">
        <v>62.5</v>
      </c>
      <c r="I129" s="13">
        <v>0</v>
      </c>
      <c r="J129" s="13">
        <f t="shared" si="79"/>
        <v>62.5</v>
      </c>
      <c r="K129" s="13">
        <f t="shared" si="80"/>
        <v>2791.6581225</v>
      </c>
      <c r="L129" s="13">
        <f t="shared" si="81"/>
        <v>0</v>
      </c>
      <c r="M129" s="13">
        <f t="shared" si="82"/>
        <v>2791.6581225</v>
      </c>
      <c r="N129" s="62">
        <f t="shared" si="83"/>
        <v>4.1598085290051802E-2</v>
      </c>
    </row>
    <row r="130" spans="1:14" ht="24.75" hidden="1" customHeight="1" x14ac:dyDescent="0.2">
      <c r="A130" s="11" t="s">
        <v>229</v>
      </c>
      <c r="B130" s="11" t="s">
        <v>230</v>
      </c>
      <c r="C130" s="12" t="s">
        <v>31</v>
      </c>
      <c r="D130" s="13">
        <v>675.21</v>
      </c>
      <c r="E130" s="13">
        <f>[1]CPUs!I894</f>
        <v>46.839680000000001</v>
      </c>
      <c r="F130" s="13">
        <v>57.907896384000004</v>
      </c>
      <c r="G130" s="13">
        <f t="shared" ref="G130:G133" si="84">D130*F130</f>
        <v>39099.990717440647</v>
      </c>
      <c r="H130" s="13">
        <v>0</v>
      </c>
      <c r="I130" s="13">
        <v>0</v>
      </c>
      <c r="J130" s="13">
        <f t="shared" si="79"/>
        <v>0</v>
      </c>
      <c r="K130" s="13">
        <f t="shared" si="80"/>
        <v>0</v>
      </c>
      <c r="L130" s="13">
        <f t="shared" si="81"/>
        <v>0</v>
      </c>
      <c r="M130" s="13">
        <f t="shared" si="82"/>
        <v>0</v>
      </c>
      <c r="N130" s="62">
        <f t="shared" si="83"/>
        <v>0</v>
      </c>
    </row>
    <row r="131" spans="1:14" ht="24.75" hidden="1" customHeight="1" x14ac:dyDescent="0.2">
      <c r="A131" s="11" t="s">
        <v>231</v>
      </c>
      <c r="B131" s="11" t="s">
        <v>232</v>
      </c>
      <c r="C131" s="12" t="s">
        <v>28</v>
      </c>
      <c r="D131" s="13">
        <v>65</v>
      </c>
      <c r="E131" s="13">
        <f>[1]CPUs!I903</f>
        <v>7.3111487999999998</v>
      </c>
      <c r="F131" s="13">
        <v>9.0387732614399994</v>
      </c>
      <c r="G131" s="13">
        <f t="shared" si="84"/>
        <v>587.5202619936</v>
      </c>
      <c r="H131" s="13">
        <v>0</v>
      </c>
      <c r="I131" s="13">
        <v>0</v>
      </c>
      <c r="J131" s="13">
        <f t="shared" si="79"/>
        <v>0</v>
      </c>
      <c r="K131" s="13">
        <f t="shared" si="80"/>
        <v>0</v>
      </c>
      <c r="L131" s="13">
        <f t="shared" si="81"/>
        <v>0</v>
      </c>
      <c r="M131" s="13">
        <f t="shared" si="82"/>
        <v>0</v>
      </c>
      <c r="N131" s="62">
        <f t="shared" si="83"/>
        <v>0</v>
      </c>
    </row>
    <row r="132" spans="1:14" ht="24.75" hidden="1" customHeight="1" x14ac:dyDescent="0.2">
      <c r="A132" s="11" t="s">
        <v>233</v>
      </c>
      <c r="B132" s="11" t="s">
        <v>234</v>
      </c>
      <c r="C132" s="12" t="s">
        <v>31</v>
      </c>
      <c r="D132" s="13">
        <v>47.1</v>
      </c>
      <c r="E132" s="13">
        <f>[1]CPUs!I912</f>
        <v>276.06</v>
      </c>
      <c r="F132" s="13">
        <v>341.29</v>
      </c>
      <c r="G132" s="13">
        <f>(F132*D132)</f>
        <v>16074.759000000002</v>
      </c>
      <c r="H132" s="13">
        <v>0</v>
      </c>
      <c r="I132" s="13">
        <v>0</v>
      </c>
      <c r="J132" s="13">
        <f t="shared" si="79"/>
        <v>0</v>
      </c>
      <c r="K132" s="13">
        <f t="shared" si="80"/>
        <v>0</v>
      </c>
      <c r="L132" s="13">
        <f t="shared" si="81"/>
        <v>0</v>
      </c>
      <c r="M132" s="13">
        <f t="shared" si="82"/>
        <v>0</v>
      </c>
      <c r="N132" s="62">
        <f t="shared" si="83"/>
        <v>0</v>
      </c>
    </row>
    <row r="133" spans="1:14" ht="24.75" hidden="1" customHeight="1" x14ac:dyDescent="0.2">
      <c r="A133" s="11" t="s">
        <v>235</v>
      </c>
      <c r="B133" s="11" t="s">
        <v>236</v>
      </c>
      <c r="C133" s="12" t="s">
        <v>31</v>
      </c>
      <c r="D133" s="13">
        <v>2177.683</v>
      </c>
      <c r="E133" s="13">
        <f>[1]CPUs!I920</f>
        <v>40.44</v>
      </c>
      <c r="F133" s="13">
        <v>49.99</v>
      </c>
      <c r="G133" s="13">
        <f t="shared" si="84"/>
        <v>108862.37317000001</v>
      </c>
      <c r="H133" s="13">
        <v>0</v>
      </c>
      <c r="I133" s="13">
        <v>0</v>
      </c>
      <c r="J133" s="13">
        <f t="shared" si="79"/>
        <v>0</v>
      </c>
      <c r="K133" s="13">
        <f t="shared" si="80"/>
        <v>0</v>
      </c>
      <c r="L133" s="13">
        <f t="shared" si="81"/>
        <v>0</v>
      </c>
      <c r="M133" s="13">
        <f t="shared" si="82"/>
        <v>0</v>
      </c>
      <c r="N133" s="62">
        <f t="shared" si="83"/>
        <v>0</v>
      </c>
    </row>
    <row r="134" spans="1:14" ht="24.75" hidden="1" customHeight="1" x14ac:dyDescent="0.2">
      <c r="A134" s="16" t="s">
        <v>237</v>
      </c>
      <c r="B134" s="16" t="s">
        <v>238</v>
      </c>
      <c r="C134" s="16"/>
      <c r="D134" s="20"/>
      <c r="E134" s="19"/>
      <c r="F134" s="19"/>
      <c r="G134" s="20">
        <f t="shared" ref="G134" si="85">SUM(G135:G148)</f>
        <v>1456666.0026914463</v>
      </c>
      <c r="H134" s="20"/>
      <c r="I134" s="19"/>
      <c r="J134" s="20"/>
      <c r="K134" s="20">
        <f t="shared" ref="K134:L134" si="86">SUM(K135:K148)</f>
        <v>0</v>
      </c>
      <c r="L134" s="20">
        <f t="shared" si="86"/>
        <v>0</v>
      </c>
      <c r="M134" s="20">
        <f>SUM(M135:M148)</f>
        <v>0</v>
      </c>
      <c r="N134" s="61">
        <f t="shared" si="83"/>
        <v>0</v>
      </c>
    </row>
    <row r="135" spans="1:14" ht="24.75" hidden="1" customHeight="1" x14ac:dyDescent="0.2">
      <c r="A135" s="11" t="s">
        <v>239</v>
      </c>
      <c r="B135" s="11" t="s">
        <v>240</v>
      </c>
      <c r="C135" s="12" t="s">
        <v>31</v>
      </c>
      <c r="D135" s="13">
        <v>2970.02</v>
      </c>
      <c r="E135" s="13">
        <f>[1]CPUs!I930</f>
        <v>154.07678000000001</v>
      </c>
      <c r="F135" s="13">
        <v>190.48512311400003</v>
      </c>
      <c r="G135" s="13">
        <f>(F135*D135)</f>
        <v>565744.62535104237</v>
      </c>
      <c r="H135" s="13">
        <v>0</v>
      </c>
      <c r="I135" s="13">
        <v>0</v>
      </c>
      <c r="J135" s="13">
        <f t="shared" ref="J135:J148" si="87">H135+I135</f>
        <v>0</v>
      </c>
      <c r="K135" s="13">
        <f t="shared" ref="K135:K148" si="88">H135*F135</f>
        <v>0</v>
      </c>
      <c r="L135" s="13">
        <f t="shared" ref="L135:L148" si="89">I135*F135</f>
        <v>0</v>
      </c>
      <c r="M135" s="13">
        <f t="shared" ref="M135:M148" si="90">J135*F135</f>
        <v>0</v>
      </c>
      <c r="N135" s="62">
        <f t="shared" ref="N135:N149" si="91">M135/G135</f>
        <v>0</v>
      </c>
    </row>
    <row r="136" spans="1:14" ht="24.75" hidden="1" customHeight="1" x14ac:dyDescent="0.2">
      <c r="A136" s="11" t="s">
        <v>241</v>
      </c>
      <c r="B136" s="11" t="s">
        <v>242</v>
      </c>
      <c r="C136" s="12" t="s">
        <v>31</v>
      </c>
      <c r="D136" s="13">
        <v>138.11000000000001</v>
      </c>
      <c r="E136" s="13">
        <f>[1]CPUs!I939</f>
        <v>116.37</v>
      </c>
      <c r="F136" s="13">
        <v>143.86000000000001</v>
      </c>
      <c r="G136" s="13">
        <f t="shared" ref="G136:G148" si="92">D136*F136</f>
        <v>19868.504600000004</v>
      </c>
      <c r="H136" s="13">
        <v>0</v>
      </c>
      <c r="I136" s="13">
        <v>0</v>
      </c>
      <c r="J136" s="13">
        <f t="shared" si="87"/>
        <v>0</v>
      </c>
      <c r="K136" s="13">
        <f t="shared" si="88"/>
        <v>0</v>
      </c>
      <c r="L136" s="13">
        <f t="shared" si="89"/>
        <v>0</v>
      </c>
      <c r="M136" s="13">
        <f t="shared" si="90"/>
        <v>0</v>
      </c>
      <c r="N136" s="62">
        <f t="shared" si="91"/>
        <v>0</v>
      </c>
    </row>
    <row r="137" spans="1:14" ht="24.75" hidden="1" customHeight="1" x14ac:dyDescent="0.2">
      <c r="A137" s="11" t="s">
        <v>243</v>
      </c>
      <c r="B137" s="11" t="s">
        <v>244</v>
      </c>
      <c r="C137" s="12" t="s">
        <v>31</v>
      </c>
      <c r="D137" s="13">
        <v>115.57</v>
      </c>
      <c r="E137" s="13">
        <f>[1]CPUs!I949</f>
        <v>303.2</v>
      </c>
      <c r="F137" s="13">
        <v>374.84</v>
      </c>
      <c r="G137" s="13">
        <f>(F137*D137)</f>
        <v>43320.258799999996</v>
      </c>
      <c r="H137" s="13">
        <v>0</v>
      </c>
      <c r="I137" s="13">
        <v>0</v>
      </c>
      <c r="J137" s="13">
        <f t="shared" si="87"/>
        <v>0</v>
      </c>
      <c r="K137" s="13">
        <f t="shared" si="88"/>
        <v>0</v>
      </c>
      <c r="L137" s="13">
        <f t="shared" si="89"/>
        <v>0</v>
      </c>
      <c r="M137" s="13">
        <f t="shared" si="90"/>
        <v>0</v>
      </c>
      <c r="N137" s="62">
        <f t="shared" si="91"/>
        <v>0</v>
      </c>
    </row>
    <row r="138" spans="1:14" ht="24.75" hidden="1" customHeight="1" x14ac:dyDescent="0.2">
      <c r="A138" s="11" t="s">
        <v>245</v>
      </c>
      <c r="B138" s="11" t="s">
        <v>246</v>
      </c>
      <c r="C138" s="12" t="s">
        <v>31</v>
      </c>
      <c r="D138" s="13">
        <v>4858.42</v>
      </c>
      <c r="E138" s="13">
        <f>[1]CPUs!I959</f>
        <v>48.442624999999992</v>
      </c>
      <c r="F138" s="13">
        <v>59.889617287499988</v>
      </c>
      <c r="G138" s="13">
        <f t="shared" si="92"/>
        <v>290968.91442193568</v>
      </c>
      <c r="H138" s="13">
        <v>0</v>
      </c>
      <c r="I138" s="13">
        <v>0</v>
      </c>
      <c r="J138" s="13">
        <f t="shared" si="87"/>
        <v>0</v>
      </c>
      <c r="K138" s="13">
        <f t="shared" si="88"/>
        <v>0</v>
      </c>
      <c r="L138" s="13">
        <f t="shared" si="89"/>
        <v>0</v>
      </c>
      <c r="M138" s="13">
        <f t="shared" si="90"/>
        <v>0</v>
      </c>
      <c r="N138" s="62">
        <f t="shared" si="91"/>
        <v>0</v>
      </c>
    </row>
    <row r="139" spans="1:14" ht="24.75" hidden="1" customHeight="1" x14ac:dyDescent="0.2">
      <c r="A139" s="11" t="s">
        <v>247</v>
      </c>
      <c r="B139" s="11" t="s">
        <v>248</v>
      </c>
      <c r="C139" s="12" t="s">
        <v>59</v>
      </c>
      <c r="D139" s="13">
        <v>108.884</v>
      </c>
      <c r="E139" s="13">
        <f>[1]CPUs!I967</f>
        <v>671.7</v>
      </c>
      <c r="F139" s="13">
        <v>830.42</v>
      </c>
      <c r="G139" s="13">
        <f t="shared" si="92"/>
        <v>90419.451279999994</v>
      </c>
      <c r="H139" s="13">
        <v>0</v>
      </c>
      <c r="I139" s="13">
        <v>0</v>
      </c>
      <c r="J139" s="13">
        <f t="shared" si="87"/>
        <v>0</v>
      </c>
      <c r="K139" s="13">
        <f t="shared" si="88"/>
        <v>0</v>
      </c>
      <c r="L139" s="13">
        <f t="shared" si="89"/>
        <v>0</v>
      </c>
      <c r="M139" s="13">
        <f t="shared" si="90"/>
        <v>0</v>
      </c>
      <c r="N139" s="62">
        <f t="shared" si="91"/>
        <v>0</v>
      </c>
    </row>
    <row r="140" spans="1:14" ht="24.75" hidden="1" customHeight="1" x14ac:dyDescent="0.2">
      <c r="A140" s="11" t="s">
        <v>249</v>
      </c>
      <c r="B140" s="11" t="s">
        <v>250</v>
      </c>
      <c r="C140" s="12" t="s">
        <v>31</v>
      </c>
      <c r="D140" s="13">
        <v>15.5</v>
      </c>
      <c r="E140" s="13">
        <f>[1]CPUs!I980</f>
        <v>32.81</v>
      </c>
      <c r="F140" s="13">
        <v>40.56</v>
      </c>
      <c r="G140" s="13">
        <f t="shared" si="92"/>
        <v>628.68000000000006</v>
      </c>
      <c r="H140" s="13">
        <v>0</v>
      </c>
      <c r="I140" s="13">
        <v>0</v>
      </c>
      <c r="J140" s="13">
        <f t="shared" si="87"/>
        <v>0</v>
      </c>
      <c r="K140" s="13">
        <f t="shared" si="88"/>
        <v>0</v>
      </c>
      <c r="L140" s="13">
        <f t="shared" si="89"/>
        <v>0</v>
      </c>
      <c r="M140" s="13">
        <f t="shared" si="90"/>
        <v>0</v>
      </c>
      <c r="N140" s="62">
        <f t="shared" si="91"/>
        <v>0</v>
      </c>
    </row>
    <row r="141" spans="1:14" ht="24.75" hidden="1" customHeight="1" x14ac:dyDescent="0.2">
      <c r="A141" s="11" t="s">
        <v>251</v>
      </c>
      <c r="B141" s="11" t="s">
        <v>252</v>
      </c>
      <c r="C141" s="12" t="s">
        <v>31</v>
      </c>
      <c r="D141" s="13">
        <v>103.86</v>
      </c>
      <c r="E141" s="13">
        <f>[1]CPUs!I990</f>
        <v>294.43</v>
      </c>
      <c r="F141" s="13">
        <v>364</v>
      </c>
      <c r="G141" s="13">
        <f t="shared" si="92"/>
        <v>37805.040000000001</v>
      </c>
      <c r="H141" s="13">
        <v>0</v>
      </c>
      <c r="I141" s="13">
        <v>0</v>
      </c>
      <c r="J141" s="13">
        <f t="shared" si="87"/>
        <v>0</v>
      </c>
      <c r="K141" s="13">
        <f t="shared" si="88"/>
        <v>0</v>
      </c>
      <c r="L141" s="13">
        <f t="shared" si="89"/>
        <v>0</v>
      </c>
      <c r="M141" s="13">
        <f t="shared" si="90"/>
        <v>0</v>
      </c>
      <c r="N141" s="62">
        <f t="shared" si="91"/>
        <v>0</v>
      </c>
    </row>
    <row r="142" spans="1:14" ht="24.75" hidden="1" customHeight="1" x14ac:dyDescent="0.2">
      <c r="A142" s="11" t="s">
        <v>253</v>
      </c>
      <c r="B142" s="11" t="s">
        <v>254</v>
      </c>
      <c r="C142" s="12" t="s">
        <v>31</v>
      </c>
      <c r="D142" s="13">
        <v>228.77</v>
      </c>
      <c r="E142" s="13">
        <f>[1]CPUs!I1000</f>
        <v>457.15360000000004</v>
      </c>
      <c r="F142" s="13">
        <v>565.17899568000007</v>
      </c>
      <c r="G142" s="13">
        <f>(F142*D142)</f>
        <v>129295.99884171362</v>
      </c>
      <c r="H142" s="13">
        <v>0</v>
      </c>
      <c r="I142" s="13">
        <v>0</v>
      </c>
      <c r="J142" s="13">
        <f t="shared" si="87"/>
        <v>0</v>
      </c>
      <c r="K142" s="13">
        <f t="shared" si="88"/>
        <v>0</v>
      </c>
      <c r="L142" s="13">
        <f t="shared" si="89"/>
        <v>0</v>
      </c>
      <c r="M142" s="13">
        <f t="shared" si="90"/>
        <v>0</v>
      </c>
      <c r="N142" s="62">
        <f t="shared" si="91"/>
        <v>0</v>
      </c>
    </row>
    <row r="143" spans="1:14" ht="24.75" hidden="1" customHeight="1" x14ac:dyDescent="0.2">
      <c r="A143" s="11" t="s">
        <v>255</v>
      </c>
      <c r="B143" s="11" t="s">
        <v>256</v>
      </c>
      <c r="C143" s="12" t="s">
        <v>59</v>
      </c>
      <c r="D143" s="13">
        <v>156.23009999999999</v>
      </c>
      <c r="E143" s="13">
        <f>[1]CPUs!I1009</f>
        <v>569.94000000000005</v>
      </c>
      <c r="F143" s="13">
        <v>704.61</v>
      </c>
      <c r="G143" s="13">
        <f t="shared" si="92"/>
        <v>110081.290761</v>
      </c>
      <c r="H143" s="13">
        <v>0</v>
      </c>
      <c r="I143" s="13">
        <v>0</v>
      </c>
      <c r="J143" s="13">
        <f t="shared" si="87"/>
        <v>0</v>
      </c>
      <c r="K143" s="13">
        <f t="shared" si="88"/>
        <v>0</v>
      </c>
      <c r="L143" s="13">
        <f t="shared" si="89"/>
        <v>0</v>
      </c>
      <c r="M143" s="13">
        <f t="shared" si="90"/>
        <v>0</v>
      </c>
      <c r="N143" s="62">
        <f t="shared" si="91"/>
        <v>0</v>
      </c>
    </row>
    <row r="144" spans="1:14" ht="24.75" hidden="1" customHeight="1" x14ac:dyDescent="0.2">
      <c r="A144" s="11" t="s">
        <v>257</v>
      </c>
      <c r="B144" s="11" t="s">
        <v>258</v>
      </c>
      <c r="C144" s="12" t="s">
        <v>31</v>
      </c>
      <c r="D144" s="13">
        <v>1301.9177999999999</v>
      </c>
      <c r="E144" s="13">
        <f>[1]CPUs!I1019</f>
        <v>37.327599999999997</v>
      </c>
      <c r="F144" s="13">
        <v>46.148111879999995</v>
      </c>
      <c r="G144" s="13">
        <f>(F144*D144)</f>
        <v>60081.048292963453</v>
      </c>
      <c r="H144" s="13">
        <v>0</v>
      </c>
      <c r="I144" s="13">
        <v>0</v>
      </c>
      <c r="J144" s="13">
        <f t="shared" si="87"/>
        <v>0</v>
      </c>
      <c r="K144" s="13">
        <f t="shared" si="88"/>
        <v>0</v>
      </c>
      <c r="L144" s="13">
        <f t="shared" si="89"/>
        <v>0</v>
      </c>
      <c r="M144" s="13">
        <f t="shared" si="90"/>
        <v>0</v>
      </c>
      <c r="N144" s="62">
        <f t="shared" si="91"/>
        <v>0</v>
      </c>
    </row>
    <row r="145" spans="1:14" ht="24.75" hidden="1" customHeight="1" x14ac:dyDescent="0.2">
      <c r="A145" s="11" t="s">
        <v>259</v>
      </c>
      <c r="B145" s="11" t="s">
        <v>260</v>
      </c>
      <c r="C145" s="12" t="s">
        <v>46</v>
      </c>
      <c r="D145" s="13">
        <v>379.72</v>
      </c>
      <c r="E145" s="13">
        <f>[1]CPUs!I1027</f>
        <v>135.51420000000002</v>
      </c>
      <c r="F145" s="13">
        <v>167.53620546000002</v>
      </c>
      <c r="G145" s="13">
        <f>(F145*D145)</f>
        <v>63616.84793727121</v>
      </c>
      <c r="H145" s="13">
        <v>0</v>
      </c>
      <c r="I145" s="13">
        <v>0</v>
      </c>
      <c r="J145" s="13">
        <f t="shared" si="87"/>
        <v>0</v>
      </c>
      <c r="K145" s="13">
        <f t="shared" si="88"/>
        <v>0</v>
      </c>
      <c r="L145" s="13">
        <f t="shared" si="89"/>
        <v>0</v>
      </c>
      <c r="M145" s="13">
        <f t="shared" si="90"/>
        <v>0</v>
      </c>
      <c r="N145" s="62">
        <f t="shared" si="91"/>
        <v>0</v>
      </c>
    </row>
    <row r="146" spans="1:14" ht="24.75" hidden="1" customHeight="1" x14ac:dyDescent="0.2">
      <c r="A146" s="11" t="s">
        <v>261</v>
      </c>
      <c r="B146" s="11" t="s">
        <v>262</v>
      </c>
      <c r="C146" s="12" t="s">
        <v>31</v>
      </c>
      <c r="D146" s="13">
        <v>14.64</v>
      </c>
      <c r="E146" s="13">
        <f>[1]CPUs!I1037</f>
        <v>131.48499999999999</v>
      </c>
      <c r="F146" s="13">
        <v>162.55490549999999</v>
      </c>
      <c r="G146" s="13">
        <f t="shared" si="92"/>
        <v>2379.8038165200001</v>
      </c>
      <c r="H146" s="13">
        <v>0</v>
      </c>
      <c r="I146" s="13">
        <v>0</v>
      </c>
      <c r="J146" s="13">
        <f t="shared" si="87"/>
        <v>0</v>
      </c>
      <c r="K146" s="13">
        <f t="shared" si="88"/>
        <v>0</v>
      </c>
      <c r="L146" s="13">
        <f t="shared" si="89"/>
        <v>0</v>
      </c>
      <c r="M146" s="13">
        <f t="shared" si="90"/>
        <v>0</v>
      </c>
      <c r="N146" s="62">
        <f t="shared" si="91"/>
        <v>0</v>
      </c>
    </row>
    <row r="147" spans="1:14" ht="24.75" hidden="1" customHeight="1" x14ac:dyDescent="0.2">
      <c r="A147" s="11" t="s">
        <v>263</v>
      </c>
      <c r="B147" s="11" t="s">
        <v>123</v>
      </c>
      <c r="C147" s="12" t="s">
        <v>79</v>
      </c>
      <c r="D147" s="13">
        <v>1926.8382999999999</v>
      </c>
      <c r="E147" s="13">
        <f>[1]CPUs!I1046</f>
        <v>15.98</v>
      </c>
      <c r="F147" s="13">
        <v>19.75</v>
      </c>
      <c r="G147" s="13">
        <f>(F147*D147)</f>
        <v>38055.056424999995</v>
      </c>
      <c r="H147" s="13">
        <v>0</v>
      </c>
      <c r="I147" s="13">
        <v>0</v>
      </c>
      <c r="J147" s="13">
        <f t="shared" si="87"/>
        <v>0</v>
      </c>
      <c r="K147" s="13">
        <f t="shared" si="88"/>
        <v>0</v>
      </c>
      <c r="L147" s="13">
        <f t="shared" si="89"/>
        <v>0</v>
      </c>
      <c r="M147" s="13">
        <f t="shared" si="90"/>
        <v>0</v>
      </c>
      <c r="N147" s="62">
        <f t="shared" si="91"/>
        <v>0</v>
      </c>
    </row>
    <row r="148" spans="1:14" ht="24.75" hidden="1" customHeight="1" x14ac:dyDescent="0.2">
      <c r="A148" s="11" t="s">
        <v>264</v>
      </c>
      <c r="B148" s="11" t="s">
        <v>265</v>
      </c>
      <c r="C148" s="12" t="s">
        <v>31</v>
      </c>
      <c r="D148" s="13">
        <v>1301.9177999999999</v>
      </c>
      <c r="E148" s="13">
        <f>[1]CPUs!I1056</f>
        <v>2.74</v>
      </c>
      <c r="F148" s="13">
        <v>3.38</v>
      </c>
      <c r="G148" s="13">
        <f t="shared" si="92"/>
        <v>4400.482164</v>
      </c>
      <c r="H148" s="13">
        <v>0</v>
      </c>
      <c r="I148" s="13">
        <v>0</v>
      </c>
      <c r="J148" s="13">
        <f t="shared" si="87"/>
        <v>0</v>
      </c>
      <c r="K148" s="13">
        <f t="shared" si="88"/>
        <v>0</v>
      </c>
      <c r="L148" s="13">
        <f t="shared" si="89"/>
        <v>0</v>
      </c>
      <c r="M148" s="13">
        <f t="shared" si="90"/>
        <v>0</v>
      </c>
      <c r="N148" s="62">
        <f t="shared" si="91"/>
        <v>0</v>
      </c>
    </row>
    <row r="149" spans="1:14" ht="24.75" hidden="1" customHeight="1" x14ac:dyDescent="0.2">
      <c r="A149" s="16" t="s">
        <v>266</v>
      </c>
      <c r="B149" s="16" t="s">
        <v>267</v>
      </c>
      <c r="C149" s="16"/>
      <c r="D149" s="20"/>
      <c r="E149" s="19"/>
      <c r="F149" s="19"/>
      <c r="G149" s="20">
        <f t="shared" ref="G149" si="93">SUM(G150)</f>
        <v>511656.49664258742</v>
      </c>
      <c r="H149" s="20"/>
      <c r="I149" s="19"/>
      <c r="J149" s="20"/>
      <c r="K149" s="20">
        <f t="shared" ref="K149:L149" si="94">SUM(K150)</f>
        <v>0</v>
      </c>
      <c r="L149" s="20">
        <f t="shared" si="94"/>
        <v>0</v>
      </c>
      <c r="M149" s="20">
        <f>SUM(M150)</f>
        <v>0</v>
      </c>
      <c r="N149" s="61">
        <f t="shared" si="91"/>
        <v>0</v>
      </c>
    </row>
    <row r="150" spans="1:14" ht="24.75" hidden="1" customHeight="1" x14ac:dyDescent="0.2">
      <c r="A150" s="11" t="s">
        <v>268</v>
      </c>
      <c r="B150" s="11" t="s">
        <v>269</v>
      </c>
      <c r="C150" s="12" t="s">
        <v>31</v>
      </c>
      <c r="D150" s="13">
        <v>3437.62</v>
      </c>
      <c r="E150" s="13">
        <f>[1]CPUs!I1064</f>
        <v>120.39175800000001</v>
      </c>
      <c r="F150" s="13">
        <v>148.84033041540002</v>
      </c>
      <c r="G150" s="13">
        <f>(F150*D150)</f>
        <v>511656.49664258742</v>
      </c>
      <c r="H150" s="13">
        <v>0</v>
      </c>
      <c r="I150" s="13">
        <v>0</v>
      </c>
      <c r="J150" s="13">
        <f>H150+I150</f>
        <v>0</v>
      </c>
      <c r="K150" s="13">
        <f>H150*F150</f>
        <v>0</v>
      </c>
      <c r="L150" s="13">
        <f>I150*F150</f>
        <v>0</v>
      </c>
      <c r="M150" s="13">
        <f>J150*F150</f>
        <v>0</v>
      </c>
      <c r="N150" s="62">
        <f t="shared" ref="N150:N151" si="95">M150/G150</f>
        <v>0</v>
      </c>
    </row>
    <row r="151" spans="1:14" ht="24.75" hidden="1" customHeight="1" x14ac:dyDescent="0.2">
      <c r="A151" s="16" t="s">
        <v>270</v>
      </c>
      <c r="B151" s="16" t="s">
        <v>271</v>
      </c>
      <c r="C151" s="16"/>
      <c r="D151" s="20"/>
      <c r="E151" s="19"/>
      <c r="F151" s="19"/>
      <c r="G151" s="20">
        <f t="shared" ref="G151" si="96">SUM(G152:G160)</f>
        <v>329717.65730664838</v>
      </c>
      <c r="H151" s="20"/>
      <c r="I151" s="19"/>
      <c r="J151" s="20"/>
      <c r="K151" s="20">
        <f t="shared" ref="K151:L151" si="97">SUM(K152:K160)</f>
        <v>0</v>
      </c>
      <c r="L151" s="20">
        <f t="shared" si="97"/>
        <v>0</v>
      </c>
      <c r="M151" s="20">
        <f>SUM(M152:M160)</f>
        <v>0</v>
      </c>
      <c r="N151" s="61">
        <f t="shared" si="95"/>
        <v>0</v>
      </c>
    </row>
    <row r="152" spans="1:14" ht="24.75" hidden="1" customHeight="1" x14ac:dyDescent="0.2">
      <c r="A152" s="11" t="s">
        <v>272</v>
      </c>
      <c r="B152" s="11" t="s">
        <v>273</v>
      </c>
      <c r="C152" s="12" t="s">
        <v>274</v>
      </c>
      <c r="D152" s="13">
        <v>13</v>
      </c>
      <c r="E152" s="13">
        <f>[1]CPUs!I1075</f>
        <v>2153.0117999999998</v>
      </c>
      <c r="F152" s="13">
        <v>2661.7684883399997</v>
      </c>
      <c r="G152" s="13">
        <f>D152*F152</f>
        <v>34602.990348419997</v>
      </c>
      <c r="H152" s="13">
        <v>0</v>
      </c>
      <c r="I152" s="13">
        <v>0</v>
      </c>
      <c r="J152" s="13">
        <f t="shared" ref="J152:J160" si="98">H152+I152</f>
        <v>0</v>
      </c>
      <c r="K152" s="13">
        <f t="shared" ref="K152:K160" si="99">H152*F152</f>
        <v>0</v>
      </c>
      <c r="L152" s="13">
        <f t="shared" ref="L152:L160" si="100">I152*F152</f>
        <v>0</v>
      </c>
      <c r="M152" s="13">
        <f t="shared" ref="M152:M160" si="101">J152*F152</f>
        <v>0</v>
      </c>
      <c r="N152" s="62">
        <f t="shared" ref="N152:N161" si="102">M152/G152</f>
        <v>0</v>
      </c>
    </row>
    <row r="153" spans="1:14" ht="24.75" hidden="1" customHeight="1" x14ac:dyDescent="0.2">
      <c r="A153" s="11" t="s">
        <v>275</v>
      </c>
      <c r="B153" s="11" t="s">
        <v>276</v>
      </c>
      <c r="C153" s="12" t="s">
        <v>28</v>
      </c>
      <c r="D153" s="13">
        <v>4</v>
      </c>
      <c r="E153" s="13">
        <f>[1]CPUs!I1087</f>
        <v>2914.6871999999994</v>
      </c>
      <c r="F153" s="13">
        <v>3603.4277853599992</v>
      </c>
      <c r="G153" s="13">
        <f t="shared" ref="G153:G160" si="103">D153*F153</f>
        <v>14413.711141439997</v>
      </c>
      <c r="H153" s="13">
        <v>0</v>
      </c>
      <c r="I153" s="13">
        <v>0</v>
      </c>
      <c r="J153" s="13">
        <f t="shared" si="98"/>
        <v>0</v>
      </c>
      <c r="K153" s="13">
        <f t="shared" si="99"/>
        <v>0</v>
      </c>
      <c r="L153" s="13">
        <f t="shared" si="100"/>
        <v>0</v>
      </c>
      <c r="M153" s="13">
        <f t="shared" si="101"/>
        <v>0</v>
      </c>
      <c r="N153" s="62">
        <f t="shared" si="102"/>
        <v>0</v>
      </c>
    </row>
    <row r="154" spans="1:14" ht="24.75" hidden="1" customHeight="1" x14ac:dyDescent="0.2">
      <c r="A154" s="11" t="s">
        <v>277</v>
      </c>
      <c r="B154" s="11" t="s">
        <v>278</v>
      </c>
      <c r="C154" s="12" t="s">
        <v>28</v>
      </c>
      <c r="D154" s="13">
        <v>10</v>
      </c>
      <c r="E154" s="13">
        <f>[1]CPUs!I1097</f>
        <v>1452.9035999999996</v>
      </c>
      <c r="F154" s="13">
        <v>1796.2247206799996</v>
      </c>
      <c r="G154" s="13">
        <f>(F154*D154)</f>
        <v>17962.247206799995</v>
      </c>
      <c r="H154" s="13">
        <v>0</v>
      </c>
      <c r="I154" s="13">
        <v>0</v>
      </c>
      <c r="J154" s="13">
        <f t="shared" si="98"/>
        <v>0</v>
      </c>
      <c r="K154" s="13">
        <f t="shared" si="99"/>
        <v>0</v>
      </c>
      <c r="L154" s="13">
        <f t="shared" si="100"/>
        <v>0</v>
      </c>
      <c r="M154" s="13">
        <f t="shared" si="101"/>
        <v>0</v>
      </c>
      <c r="N154" s="62">
        <f t="shared" si="102"/>
        <v>0</v>
      </c>
    </row>
    <row r="155" spans="1:14" ht="24.75" hidden="1" customHeight="1" x14ac:dyDescent="0.2">
      <c r="A155" s="11" t="s">
        <v>279</v>
      </c>
      <c r="B155" s="11" t="s">
        <v>280</v>
      </c>
      <c r="C155" s="12" t="s">
        <v>28</v>
      </c>
      <c r="D155" s="13">
        <v>3</v>
      </c>
      <c r="E155" s="13">
        <f>[1]CPUs!I1107</f>
        <v>2769.5351999999998</v>
      </c>
      <c r="F155" s="13">
        <v>3423.9763677599999</v>
      </c>
      <c r="G155" s="13">
        <f>(F155*D155)</f>
        <v>10271.929103279999</v>
      </c>
      <c r="H155" s="13">
        <v>0</v>
      </c>
      <c r="I155" s="13">
        <v>0</v>
      </c>
      <c r="J155" s="13">
        <f t="shared" si="98"/>
        <v>0</v>
      </c>
      <c r="K155" s="13">
        <f t="shared" si="99"/>
        <v>0</v>
      </c>
      <c r="L155" s="13">
        <f t="shared" si="100"/>
        <v>0</v>
      </c>
      <c r="M155" s="13">
        <f t="shared" si="101"/>
        <v>0</v>
      </c>
      <c r="N155" s="62">
        <f t="shared" si="102"/>
        <v>0</v>
      </c>
    </row>
    <row r="156" spans="1:14" ht="24.75" hidden="1" customHeight="1" x14ac:dyDescent="0.2">
      <c r="A156" s="11" t="s">
        <v>281</v>
      </c>
      <c r="B156" s="11" t="s">
        <v>282</v>
      </c>
      <c r="C156" s="12" t="s">
        <v>28</v>
      </c>
      <c r="D156" s="13">
        <v>13</v>
      </c>
      <c r="E156" s="13">
        <f>[1]CPUs!I1117</f>
        <v>1074.2539999999999</v>
      </c>
      <c r="F156" s="13">
        <v>1328.1002202</v>
      </c>
      <c r="G156" s="13">
        <f>D156*F156</f>
        <v>17265.302862600001</v>
      </c>
      <c r="H156" s="13">
        <v>0</v>
      </c>
      <c r="I156" s="13">
        <v>0</v>
      </c>
      <c r="J156" s="13">
        <f t="shared" si="98"/>
        <v>0</v>
      </c>
      <c r="K156" s="13">
        <f t="shared" si="99"/>
        <v>0</v>
      </c>
      <c r="L156" s="13">
        <f t="shared" si="100"/>
        <v>0</v>
      </c>
      <c r="M156" s="13">
        <f t="shared" si="101"/>
        <v>0</v>
      </c>
      <c r="N156" s="62">
        <f t="shared" si="102"/>
        <v>0</v>
      </c>
    </row>
    <row r="157" spans="1:14" ht="24.75" hidden="1" customHeight="1" x14ac:dyDescent="0.2">
      <c r="A157" s="11" t="s">
        <v>283</v>
      </c>
      <c r="B157" s="11" t="s">
        <v>284</v>
      </c>
      <c r="C157" s="12" t="s">
        <v>28</v>
      </c>
      <c r="D157" s="13">
        <v>32</v>
      </c>
      <c r="E157" s="13">
        <f>[1]CPUs!I1127</f>
        <v>674.47440000000006</v>
      </c>
      <c r="F157" s="13">
        <v>833.85270072000003</v>
      </c>
      <c r="G157" s="13">
        <f>(F157*D157)</f>
        <v>26683.286423040001</v>
      </c>
      <c r="H157" s="13">
        <v>0</v>
      </c>
      <c r="I157" s="13">
        <v>0</v>
      </c>
      <c r="J157" s="13">
        <f t="shared" si="98"/>
        <v>0</v>
      </c>
      <c r="K157" s="13">
        <f t="shared" si="99"/>
        <v>0</v>
      </c>
      <c r="L157" s="13">
        <f t="shared" si="100"/>
        <v>0</v>
      </c>
      <c r="M157" s="13">
        <f t="shared" si="101"/>
        <v>0</v>
      </c>
      <c r="N157" s="62">
        <f t="shared" si="102"/>
        <v>0</v>
      </c>
    </row>
    <row r="158" spans="1:14" ht="24.75" hidden="1" customHeight="1" x14ac:dyDescent="0.2">
      <c r="A158" s="11" t="s">
        <v>285</v>
      </c>
      <c r="B158" s="11" t="s">
        <v>286</v>
      </c>
      <c r="C158" s="12" t="s">
        <v>28</v>
      </c>
      <c r="D158" s="13">
        <v>116</v>
      </c>
      <c r="E158" s="13">
        <f>[1]CPUs!I1135</f>
        <v>686.39159999999993</v>
      </c>
      <c r="F158" s="13">
        <v>848.5859350799999</v>
      </c>
      <c r="G158" s="13">
        <f>(F158*D158)</f>
        <v>98435.968469279993</v>
      </c>
      <c r="H158" s="13">
        <v>0</v>
      </c>
      <c r="I158" s="13">
        <v>0</v>
      </c>
      <c r="J158" s="13">
        <f t="shared" si="98"/>
        <v>0</v>
      </c>
      <c r="K158" s="13">
        <f t="shared" si="99"/>
        <v>0</v>
      </c>
      <c r="L158" s="13">
        <f t="shared" si="100"/>
        <v>0</v>
      </c>
      <c r="M158" s="13">
        <f t="shared" si="101"/>
        <v>0</v>
      </c>
      <c r="N158" s="62">
        <f t="shared" si="102"/>
        <v>0</v>
      </c>
    </row>
    <row r="159" spans="1:14" ht="24.75" hidden="1" customHeight="1" x14ac:dyDescent="0.2">
      <c r="A159" s="11" t="s">
        <v>287</v>
      </c>
      <c r="B159" s="11" t="s">
        <v>288</v>
      </c>
      <c r="C159" s="12" t="s">
        <v>28</v>
      </c>
      <c r="D159" s="13">
        <v>42</v>
      </c>
      <c r="E159" s="13">
        <f>[1]CPUs!I1143</f>
        <v>898.26440000000002</v>
      </c>
      <c r="F159" s="13">
        <v>1110.5242777200001</v>
      </c>
      <c r="G159" s="13">
        <f>(F159*D159)</f>
        <v>46642.019664240004</v>
      </c>
      <c r="H159" s="13">
        <v>0</v>
      </c>
      <c r="I159" s="13">
        <v>0</v>
      </c>
      <c r="J159" s="13">
        <f t="shared" si="98"/>
        <v>0</v>
      </c>
      <c r="K159" s="13">
        <f t="shared" si="99"/>
        <v>0</v>
      </c>
      <c r="L159" s="13">
        <f t="shared" si="100"/>
        <v>0</v>
      </c>
      <c r="M159" s="13">
        <f t="shared" si="101"/>
        <v>0</v>
      </c>
      <c r="N159" s="62">
        <f t="shared" si="102"/>
        <v>0</v>
      </c>
    </row>
    <row r="160" spans="1:14" ht="24.75" hidden="1" customHeight="1" x14ac:dyDescent="0.2">
      <c r="A160" s="11" t="s">
        <v>289</v>
      </c>
      <c r="B160" s="11" t="s">
        <v>290</v>
      </c>
      <c r="C160" s="12" t="s">
        <v>31</v>
      </c>
      <c r="D160" s="13">
        <v>47.05</v>
      </c>
      <c r="E160" s="13">
        <f>[1]CPUs!I1152</f>
        <v>1090.63909352</v>
      </c>
      <c r="F160" s="13">
        <v>1348.3571113187759</v>
      </c>
      <c r="G160" s="13">
        <f t="shared" si="103"/>
        <v>63440.202087548401</v>
      </c>
      <c r="H160" s="13">
        <v>0</v>
      </c>
      <c r="I160" s="13">
        <v>0</v>
      </c>
      <c r="J160" s="13">
        <f t="shared" si="98"/>
        <v>0</v>
      </c>
      <c r="K160" s="13">
        <f t="shared" si="99"/>
        <v>0</v>
      </c>
      <c r="L160" s="13">
        <f t="shared" si="100"/>
        <v>0</v>
      </c>
      <c r="M160" s="13">
        <f t="shared" si="101"/>
        <v>0</v>
      </c>
      <c r="N160" s="62">
        <f t="shared" si="102"/>
        <v>0</v>
      </c>
    </row>
    <row r="161" spans="1:14" ht="24.75" hidden="1" customHeight="1" x14ac:dyDescent="0.2">
      <c r="A161" s="16" t="s">
        <v>291</v>
      </c>
      <c r="B161" s="16" t="s">
        <v>292</v>
      </c>
      <c r="C161" s="16"/>
      <c r="D161" s="20"/>
      <c r="E161" s="19"/>
      <c r="F161" s="19"/>
      <c r="G161" s="20">
        <f t="shared" ref="G161" si="104">SUM(G162)</f>
        <v>1748306.1216199799</v>
      </c>
      <c r="H161" s="20"/>
      <c r="I161" s="19"/>
      <c r="J161" s="20"/>
      <c r="K161" s="20">
        <f t="shared" ref="K161:L161" si="105">SUM(K162)</f>
        <v>0</v>
      </c>
      <c r="L161" s="20">
        <f t="shared" si="105"/>
        <v>0</v>
      </c>
      <c r="M161" s="20">
        <f>SUM(M162)</f>
        <v>0</v>
      </c>
      <c r="N161" s="61">
        <f t="shared" si="102"/>
        <v>0</v>
      </c>
    </row>
    <row r="162" spans="1:14" ht="24.75" hidden="1" customHeight="1" x14ac:dyDescent="0.2">
      <c r="A162" s="11" t="s">
        <v>293</v>
      </c>
      <c r="B162" s="11" t="s">
        <v>294</v>
      </c>
      <c r="C162" s="12" t="s">
        <v>31</v>
      </c>
      <c r="D162" s="13">
        <v>1151.44</v>
      </c>
      <c r="E162" s="13">
        <f>[1]CPUs!I1162</f>
        <v>1228.1524999999999</v>
      </c>
      <c r="F162" s="13">
        <v>1518.3649357499999</v>
      </c>
      <c r="G162" s="13">
        <f>D162*F162</f>
        <v>1748306.1216199799</v>
      </c>
      <c r="H162" s="13">
        <v>0</v>
      </c>
      <c r="I162" s="13">
        <v>0</v>
      </c>
      <c r="J162" s="13">
        <f>H162+I162</f>
        <v>0</v>
      </c>
      <c r="K162" s="13">
        <f>H162*F162</f>
        <v>0</v>
      </c>
      <c r="L162" s="13">
        <f>I162*F162</f>
        <v>0</v>
      </c>
      <c r="M162" s="13">
        <f>J162*F162</f>
        <v>0</v>
      </c>
      <c r="N162" s="62">
        <f t="shared" ref="N162:N163" si="106">M162/G162</f>
        <v>0</v>
      </c>
    </row>
    <row r="163" spans="1:14" ht="24.75" hidden="1" customHeight="1" x14ac:dyDescent="0.2">
      <c r="A163" s="16" t="s">
        <v>295</v>
      </c>
      <c r="B163" s="16" t="s">
        <v>296</v>
      </c>
      <c r="C163" s="16"/>
      <c r="D163" s="20"/>
      <c r="E163" s="19"/>
      <c r="F163" s="19"/>
      <c r="G163" s="20">
        <f t="shared" ref="G163" si="107">SUM(G164:G171)</f>
        <v>128214.95577900487</v>
      </c>
      <c r="H163" s="20"/>
      <c r="I163" s="19"/>
      <c r="J163" s="20"/>
      <c r="K163" s="20">
        <f t="shared" ref="K163:L163" si="108">SUM(K164:K171)</f>
        <v>0</v>
      </c>
      <c r="L163" s="20">
        <f t="shared" si="108"/>
        <v>0</v>
      </c>
      <c r="M163" s="20">
        <f>SUM(M164:M171)</f>
        <v>0</v>
      </c>
      <c r="N163" s="61">
        <f t="shared" si="106"/>
        <v>0</v>
      </c>
    </row>
    <row r="164" spans="1:14" ht="24.75" hidden="1" customHeight="1" x14ac:dyDescent="0.2">
      <c r="A164" s="11" t="s">
        <v>297</v>
      </c>
      <c r="B164" s="11" t="s">
        <v>298</v>
      </c>
      <c r="C164" s="12" t="s">
        <v>28</v>
      </c>
      <c r="D164" s="13">
        <v>61</v>
      </c>
      <c r="E164" s="13">
        <f>[1]CPUs!I1176</f>
        <v>433.3064</v>
      </c>
      <c r="F164" s="13">
        <v>535.69670231999999</v>
      </c>
      <c r="G164" s="13">
        <f>(F164*D164)</f>
        <v>32677.498841519999</v>
      </c>
      <c r="H164" s="13">
        <v>0</v>
      </c>
      <c r="I164" s="13">
        <v>0</v>
      </c>
      <c r="J164" s="13">
        <f t="shared" ref="J164:J171" si="109">H164+I164</f>
        <v>0</v>
      </c>
      <c r="K164" s="13">
        <f t="shared" ref="K164:K171" si="110">H164*F164</f>
        <v>0</v>
      </c>
      <c r="L164" s="13">
        <f t="shared" ref="L164:L171" si="111">I164*F164</f>
        <v>0</v>
      </c>
      <c r="M164" s="13">
        <f t="shared" ref="M164:M171" si="112">J164*F164</f>
        <v>0</v>
      </c>
      <c r="N164" s="62">
        <f t="shared" ref="N164:N173" si="113">M164/G164</f>
        <v>0</v>
      </c>
    </row>
    <row r="165" spans="1:14" ht="24.75" hidden="1" customHeight="1" x14ac:dyDescent="0.2">
      <c r="A165" s="11" t="s">
        <v>299</v>
      </c>
      <c r="B165" s="11" t="s">
        <v>300</v>
      </c>
      <c r="C165" s="12" t="s">
        <v>28</v>
      </c>
      <c r="D165" s="13">
        <v>16</v>
      </c>
      <c r="E165" s="13">
        <f>[1]CPUs!I1183</f>
        <v>804.05</v>
      </c>
      <c r="F165" s="13">
        <v>994.04</v>
      </c>
      <c r="G165" s="13">
        <f t="shared" ref="G165:G171" si="114">D165*F165</f>
        <v>15904.64</v>
      </c>
      <c r="H165" s="13">
        <v>0</v>
      </c>
      <c r="I165" s="13">
        <v>0</v>
      </c>
      <c r="J165" s="13">
        <f t="shared" si="109"/>
        <v>0</v>
      </c>
      <c r="K165" s="13">
        <f t="shared" si="110"/>
        <v>0</v>
      </c>
      <c r="L165" s="13">
        <f t="shared" si="111"/>
        <v>0</v>
      </c>
      <c r="M165" s="13">
        <f t="shared" si="112"/>
        <v>0</v>
      </c>
      <c r="N165" s="62">
        <f t="shared" si="113"/>
        <v>0</v>
      </c>
    </row>
    <row r="166" spans="1:14" ht="24.75" hidden="1" customHeight="1" x14ac:dyDescent="0.2">
      <c r="A166" s="11" t="s">
        <v>301</v>
      </c>
      <c r="B166" s="11" t="s">
        <v>302</v>
      </c>
      <c r="C166" s="12" t="s">
        <v>28</v>
      </c>
      <c r="D166" s="13">
        <v>77</v>
      </c>
      <c r="E166" s="13">
        <f>[1]CPUs!I1190</f>
        <v>41.57</v>
      </c>
      <c r="F166" s="13">
        <v>51.39</v>
      </c>
      <c r="G166" s="13">
        <f t="shared" si="114"/>
        <v>3957.03</v>
      </c>
      <c r="H166" s="13">
        <v>0</v>
      </c>
      <c r="I166" s="13">
        <v>0</v>
      </c>
      <c r="J166" s="13">
        <f t="shared" si="109"/>
        <v>0</v>
      </c>
      <c r="K166" s="13">
        <f t="shared" si="110"/>
        <v>0</v>
      </c>
      <c r="L166" s="13">
        <f t="shared" si="111"/>
        <v>0</v>
      </c>
      <c r="M166" s="13">
        <f t="shared" si="112"/>
        <v>0</v>
      </c>
      <c r="N166" s="62">
        <f t="shared" si="113"/>
        <v>0</v>
      </c>
    </row>
    <row r="167" spans="1:14" ht="24.75" hidden="1" customHeight="1" x14ac:dyDescent="0.2">
      <c r="A167" s="11" t="s">
        <v>303</v>
      </c>
      <c r="B167" s="11" t="s">
        <v>304</v>
      </c>
      <c r="C167" s="12" t="s">
        <v>28</v>
      </c>
      <c r="D167" s="13">
        <v>28</v>
      </c>
      <c r="E167" s="13">
        <f>[1]CPUs!I1198</f>
        <v>299.33749999999998</v>
      </c>
      <c r="F167" s="13">
        <v>370.07095125000001</v>
      </c>
      <c r="G167" s="13">
        <f>(F167*D167)</f>
        <v>10361.986635000001</v>
      </c>
      <c r="H167" s="13">
        <v>0</v>
      </c>
      <c r="I167" s="13">
        <v>0</v>
      </c>
      <c r="J167" s="13">
        <f t="shared" si="109"/>
        <v>0</v>
      </c>
      <c r="K167" s="13">
        <f t="shared" si="110"/>
        <v>0</v>
      </c>
      <c r="L167" s="13">
        <f t="shared" si="111"/>
        <v>0</v>
      </c>
      <c r="M167" s="13">
        <f t="shared" si="112"/>
        <v>0</v>
      </c>
      <c r="N167" s="62">
        <f t="shared" si="113"/>
        <v>0</v>
      </c>
    </row>
    <row r="168" spans="1:14" ht="24.75" hidden="1" customHeight="1" x14ac:dyDescent="0.2">
      <c r="A168" s="11" t="s">
        <v>305</v>
      </c>
      <c r="B168" s="11" t="s">
        <v>306</v>
      </c>
      <c r="C168" s="12" t="s">
        <v>28</v>
      </c>
      <c r="D168" s="13">
        <v>4</v>
      </c>
      <c r="E168" s="13">
        <f>[1]CPUs!I1207</f>
        <v>106.65</v>
      </c>
      <c r="F168" s="13">
        <v>131.85</v>
      </c>
      <c r="G168" s="13">
        <f t="shared" si="114"/>
        <v>527.4</v>
      </c>
      <c r="H168" s="13">
        <v>0</v>
      </c>
      <c r="I168" s="13">
        <v>0</v>
      </c>
      <c r="J168" s="13">
        <f t="shared" si="109"/>
        <v>0</v>
      </c>
      <c r="K168" s="13">
        <f t="shared" si="110"/>
        <v>0</v>
      </c>
      <c r="L168" s="13">
        <f t="shared" si="111"/>
        <v>0</v>
      </c>
      <c r="M168" s="13">
        <f t="shared" si="112"/>
        <v>0</v>
      </c>
      <c r="N168" s="62">
        <f t="shared" si="113"/>
        <v>0</v>
      </c>
    </row>
    <row r="169" spans="1:14" ht="24.75" hidden="1" customHeight="1" x14ac:dyDescent="0.2">
      <c r="A169" s="11" t="s">
        <v>307</v>
      </c>
      <c r="B169" s="11" t="s">
        <v>308</v>
      </c>
      <c r="C169" s="12" t="s">
        <v>28</v>
      </c>
      <c r="D169" s="13">
        <v>2</v>
      </c>
      <c r="E169" s="13">
        <f>[1]CPUs!I1216</f>
        <v>684.08</v>
      </c>
      <c r="F169" s="13">
        <v>845.72</v>
      </c>
      <c r="G169" s="13">
        <f t="shared" si="114"/>
        <v>1691.44</v>
      </c>
      <c r="H169" s="13">
        <v>0</v>
      </c>
      <c r="I169" s="13">
        <v>0</v>
      </c>
      <c r="J169" s="13">
        <f t="shared" si="109"/>
        <v>0</v>
      </c>
      <c r="K169" s="13">
        <f t="shared" si="110"/>
        <v>0</v>
      </c>
      <c r="L169" s="13">
        <f t="shared" si="111"/>
        <v>0</v>
      </c>
      <c r="M169" s="13">
        <f t="shared" si="112"/>
        <v>0</v>
      </c>
      <c r="N169" s="62">
        <f t="shared" si="113"/>
        <v>0</v>
      </c>
    </row>
    <row r="170" spans="1:14" ht="24.75" hidden="1" customHeight="1" x14ac:dyDescent="0.2">
      <c r="A170" s="11" t="s">
        <v>309</v>
      </c>
      <c r="B170" s="11" t="s">
        <v>310</v>
      </c>
      <c r="C170" s="12" t="s">
        <v>28</v>
      </c>
      <c r="D170" s="13">
        <v>3</v>
      </c>
      <c r="E170" s="13">
        <f>[1]CPUs!I1228</f>
        <v>930.93</v>
      </c>
      <c r="F170" s="13">
        <v>1150.9000000000001</v>
      </c>
      <c r="G170" s="13">
        <f t="shared" si="114"/>
        <v>3452.7000000000003</v>
      </c>
      <c r="H170" s="13">
        <v>0</v>
      </c>
      <c r="I170" s="13">
        <v>0</v>
      </c>
      <c r="J170" s="13">
        <f t="shared" si="109"/>
        <v>0</v>
      </c>
      <c r="K170" s="13">
        <f t="shared" si="110"/>
        <v>0</v>
      </c>
      <c r="L170" s="13">
        <f t="shared" si="111"/>
        <v>0</v>
      </c>
      <c r="M170" s="13">
        <f t="shared" si="112"/>
        <v>0</v>
      </c>
      <c r="N170" s="62">
        <f t="shared" si="113"/>
        <v>0</v>
      </c>
    </row>
    <row r="171" spans="1:14" ht="24.75" hidden="1" customHeight="1" x14ac:dyDescent="0.2">
      <c r="A171" s="11" t="s">
        <v>311</v>
      </c>
      <c r="B171" s="11" t="s">
        <v>312</v>
      </c>
      <c r="C171" s="12" t="s">
        <v>28</v>
      </c>
      <c r="D171" s="13">
        <v>91</v>
      </c>
      <c r="E171" s="13">
        <f>[1]CPUs!I1237</f>
        <v>530.13787420000006</v>
      </c>
      <c r="F171" s="13">
        <v>655.40945387346005</v>
      </c>
      <c r="G171" s="13">
        <f t="shared" si="114"/>
        <v>59642.260302484865</v>
      </c>
      <c r="H171" s="13">
        <v>0</v>
      </c>
      <c r="I171" s="13">
        <v>0</v>
      </c>
      <c r="J171" s="13">
        <f t="shared" si="109"/>
        <v>0</v>
      </c>
      <c r="K171" s="13">
        <f t="shared" si="110"/>
        <v>0</v>
      </c>
      <c r="L171" s="13">
        <f t="shared" si="111"/>
        <v>0</v>
      </c>
      <c r="M171" s="13">
        <f t="shared" si="112"/>
        <v>0</v>
      </c>
      <c r="N171" s="62">
        <f t="shared" si="113"/>
        <v>0</v>
      </c>
    </row>
    <row r="172" spans="1:14" ht="24.75" hidden="1" customHeight="1" x14ac:dyDescent="0.2">
      <c r="A172" s="16" t="s">
        <v>313</v>
      </c>
      <c r="B172" s="16" t="s">
        <v>314</v>
      </c>
      <c r="C172" s="16"/>
      <c r="D172" s="20"/>
      <c r="E172" s="19"/>
      <c r="F172" s="19"/>
      <c r="G172" s="20">
        <f t="shared" ref="G172" si="115">G173+G201+G209+G223</f>
        <v>253082.22047126194</v>
      </c>
      <c r="H172" s="20"/>
      <c r="I172" s="19"/>
      <c r="J172" s="20"/>
      <c r="K172" s="20">
        <f t="shared" ref="K172" si="116">K173+K201+K209+K223</f>
        <v>0</v>
      </c>
      <c r="L172" s="20">
        <f t="shared" ref="L172" si="117">L173+L201+L209+L223</f>
        <v>0</v>
      </c>
      <c r="M172" s="20">
        <f>M173+M201+M209+M223</f>
        <v>0</v>
      </c>
      <c r="N172" s="61">
        <f t="shared" si="113"/>
        <v>0</v>
      </c>
    </row>
    <row r="173" spans="1:14" ht="24.75" hidden="1" customHeight="1" x14ac:dyDescent="0.2">
      <c r="A173" s="16" t="s">
        <v>315</v>
      </c>
      <c r="B173" s="16" t="s">
        <v>316</v>
      </c>
      <c r="C173" s="16"/>
      <c r="D173" s="20"/>
      <c r="E173" s="19"/>
      <c r="F173" s="19"/>
      <c r="G173" s="20">
        <f>SUM(G174:G200)</f>
        <v>74843.753321754994</v>
      </c>
      <c r="H173" s="20"/>
      <c r="I173" s="19"/>
      <c r="J173" s="20"/>
      <c r="K173" s="20">
        <f t="shared" ref="K173" si="118">SUM(K174:K200)</f>
        <v>0</v>
      </c>
      <c r="L173" s="20">
        <f t="shared" ref="L173" si="119">SUM(L174:L200)</f>
        <v>0</v>
      </c>
      <c r="M173" s="20">
        <f>SUM(M174:M200)</f>
        <v>0</v>
      </c>
      <c r="N173" s="61">
        <f t="shared" si="113"/>
        <v>0</v>
      </c>
    </row>
    <row r="174" spans="1:14" ht="24.75" hidden="1" customHeight="1" x14ac:dyDescent="0.2">
      <c r="A174" s="11" t="s">
        <v>317</v>
      </c>
      <c r="B174" s="11" t="s">
        <v>318</v>
      </c>
      <c r="C174" s="12" t="s">
        <v>28</v>
      </c>
      <c r="D174" s="13">
        <v>2</v>
      </c>
      <c r="E174" s="13">
        <f>[1]CPUs!I1246</f>
        <v>2401.1328000000003</v>
      </c>
      <c r="F174" s="13">
        <v>2968.5204806400006</v>
      </c>
      <c r="G174" s="13">
        <f>D174*F174</f>
        <v>5937.0409612800013</v>
      </c>
      <c r="H174" s="13">
        <v>0</v>
      </c>
      <c r="I174" s="13">
        <v>0</v>
      </c>
      <c r="J174" s="13">
        <f t="shared" ref="J174:J200" si="120">H174+I174</f>
        <v>0</v>
      </c>
      <c r="K174" s="13">
        <f t="shared" ref="K174:K200" si="121">H174*F174</f>
        <v>0</v>
      </c>
      <c r="L174" s="13">
        <f t="shared" ref="L174:L200" si="122">I174*F174</f>
        <v>0</v>
      </c>
      <c r="M174" s="13">
        <f t="shared" ref="M174:M200" si="123">J174*F174</f>
        <v>0</v>
      </c>
      <c r="N174" s="62">
        <f t="shared" ref="N174:N201" si="124">M174/G174</f>
        <v>0</v>
      </c>
    </row>
    <row r="175" spans="1:14" ht="24.75" hidden="1" customHeight="1" x14ac:dyDescent="0.2">
      <c r="A175" s="11" t="s">
        <v>319</v>
      </c>
      <c r="B175" s="11" t="s">
        <v>320</v>
      </c>
      <c r="C175" s="12" t="s">
        <v>28</v>
      </c>
      <c r="D175" s="13">
        <v>3</v>
      </c>
      <c r="E175" s="13">
        <f>[1]CPUs!I1259</f>
        <v>132.44999999999999</v>
      </c>
      <c r="F175" s="13">
        <v>163.74</v>
      </c>
      <c r="G175" s="13">
        <f t="shared" ref="G175:G200" si="125">D175*F175</f>
        <v>491.22</v>
      </c>
      <c r="H175" s="13">
        <v>0</v>
      </c>
      <c r="I175" s="13">
        <v>0</v>
      </c>
      <c r="J175" s="13">
        <f t="shared" si="120"/>
        <v>0</v>
      </c>
      <c r="K175" s="13">
        <f t="shared" si="121"/>
        <v>0</v>
      </c>
      <c r="L175" s="13">
        <f t="shared" si="122"/>
        <v>0</v>
      </c>
      <c r="M175" s="13">
        <f t="shared" si="123"/>
        <v>0</v>
      </c>
      <c r="N175" s="62">
        <f t="shared" si="124"/>
        <v>0</v>
      </c>
    </row>
    <row r="176" spans="1:14" ht="24.75" hidden="1" customHeight="1" x14ac:dyDescent="0.2">
      <c r="A176" s="11" t="s">
        <v>321</v>
      </c>
      <c r="B176" s="11" t="s">
        <v>322</v>
      </c>
      <c r="C176" s="12" t="s">
        <v>28</v>
      </c>
      <c r="D176" s="13">
        <v>1</v>
      </c>
      <c r="E176" s="13">
        <f>[1]CPUs!I1268</f>
        <v>108.54</v>
      </c>
      <c r="F176" s="13">
        <v>134.18</v>
      </c>
      <c r="G176" s="13">
        <f t="shared" si="125"/>
        <v>134.18</v>
      </c>
      <c r="H176" s="13">
        <v>0</v>
      </c>
      <c r="I176" s="13">
        <v>0</v>
      </c>
      <c r="J176" s="13">
        <f t="shared" si="120"/>
        <v>0</v>
      </c>
      <c r="K176" s="13">
        <f t="shared" si="121"/>
        <v>0</v>
      </c>
      <c r="L176" s="13">
        <f t="shared" si="122"/>
        <v>0</v>
      </c>
      <c r="M176" s="13">
        <f t="shared" si="123"/>
        <v>0</v>
      </c>
      <c r="N176" s="62">
        <f t="shared" si="124"/>
        <v>0</v>
      </c>
    </row>
    <row r="177" spans="1:14" ht="24.75" hidden="1" customHeight="1" x14ac:dyDescent="0.2">
      <c r="A177" s="11" t="s">
        <v>323</v>
      </c>
      <c r="B177" s="11" t="s">
        <v>324</v>
      </c>
      <c r="C177" s="12" t="s">
        <v>28</v>
      </c>
      <c r="D177" s="13">
        <v>3</v>
      </c>
      <c r="E177" s="13">
        <f>[1]CPUs!I1277</f>
        <v>182.32</v>
      </c>
      <c r="F177" s="13">
        <v>225.4</v>
      </c>
      <c r="G177" s="13">
        <f t="shared" si="125"/>
        <v>676.2</v>
      </c>
      <c r="H177" s="13">
        <v>0</v>
      </c>
      <c r="I177" s="13">
        <v>0</v>
      </c>
      <c r="J177" s="13">
        <f t="shared" si="120"/>
        <v>0</v>
      </c>
      <c r="K177" s="13">
        <f t="shared" si="121"/>
        <v>0</v>
      </c>
      <c r="L177" s="13">
        <f t="shared" si="122"/>
        <v>0</v>
      </c>
      <c r="M177" s="13">
        <f t="shared" si="123"/>
        <v>0</v>
      </c>
      <c r="N177" s="62">
        <f t="shared" si="124"/>
        <v>0</v>
      </c>
    </row>
    <row r="178" spans="1:14" ht="24.75" hidden="1" customHeight="1" x14ac:dyDescent="0.2">
      <c r="A178" s="11" t="s">
        <v>325</v>
      </c>
      <c r="B178" s="11" t="s">
        <v>326</v>
      </c>
      <c r="C178" s="12" t="s">
        <v>28</v>
      </c>
      <c r="D178" s="13">
        <v>1</v>
      </c>
      <c r="E178" s="13">
        <f>[1]CPUs!I1286</f>
        <v>84.86</v>
      </c>
      <c r="F178" s="13">
        <v>104.91</v>
      </c>
      <c r="G178" s="13">
        <f t="shared" si="125"/>
        <v>104.91</v>
      </c>
      <c r="H178" s="13">
        <v>0</v>
      </c>
      <c r="I178" s="13">
        <v>0</v>
      </c>
      <c r="J178" s="13">
        <f t="shared" si="120"/>
        <v>0</v>
      </c>
      <c r="K178" s="13">
        <f t="shared" si="121"/>
        <v>0</v>
      </c>
      <c r="L178" s="13">
        <f t="shared" si="122"/>
        <v>0</v>
      </c>
      <c r="M178" s="13">
        <f t="shared" si="123"/>
        <v>0</v>
      </c>
      <c r="N178" s="62">
        <f t="shared" si="124"/>
        <v>0</v>
      </c>
    </row>
    <row r="179" spans="1:14" ht="24.75" hidden="1" customHeight="1" x14ac:dyDescent="0.2">
      <c r="A179" s="11" t="s">
        <v>327</v>
      </c>
      <c r="B179" s="11" t="s">
        <v>328</v>
      </c>
      <c r="C179" s="12" t="s">
        <v>28</v>
      </c>
      <c r="D179" s="13">
        <v>1</v>
      </c>
      <c r="E179" s="13">
        <f>[1]CPUs!I1295</f>
        <v>127.93</v>
      </c>
      <c r="F179" s="13">
        <v>158.15</v>
      </c>
      <c r="G179" s="13">
        <f t="shared" si="125"/>
        <v>158.15</v>
      </c>
      <c r="H179" s="13">
        <v>0</v>
      </c>
      <c r="I179" s="13">
        <v>0</v>
      </c>
      <c r="J179" s="13">
        <f t="shared" si="120"/>
        <v>0</v>
      </c>
      <c r="K179" s="13">
        <f t="shared" si="121"/>
        <v>0</v>
      </c>
      <c r="L179" s="13">
        <f t="shared" si="122"/>
        <v>0</v>
      </c>
      <c r="M179" s="13">
        <f t="shared" si="123"/>
        <v>0</v>
      </c>
      <c r="N179" s="62">
        <f t="shared" si="124"/>
        <v>0</v>
      </c>
    </row>
    <row r="180" spans="1:14" ht="24.75" hidden="1" customHeight="1" x14ac:dyDescent="0.2">
      <c r="A180" s="11" t="s">
        <v>329</v>
      </c>
      <c r="B180" s="11" t="s">
        <v>330</v>
      </c>
      <c r="C180" s="12" t="s">
        <v>28</v>
      </c>
      <c r="D180" s="13">
        <v>1</v>
      </c>
      <c r="E180" s="13">
        <f>[1]CPUs!I1304</f>
        <v>7.72</v>
      </c>
      <c r="F180" s="13">
        <v>9.5399999999999991</v>
      </c>
      <c r="G180" s="13">
        <f t="shared" si="125"/>
        <v>9.5399999999999991</v>
      </c>
      <c r="H180" s="13">
        <v>0</v>
      </c>
      <c r="I180" s="13">
        <v>0</v>
      </c>
      <c r="J180" s="13">
        <f t="shared" si="120"/>
        <v>0</v>
      </c>
      <c r="K180" s="13">
        <f t="shared" si="121"/>
        <v>0</v>
      </c>
      <c r="L180" s="13">
        <f t="shared" si="122"/>
        <v>0</v>
      </c>
      <c r="M180" s="13">
        <f t="shared" si="123"/>
        <v>0</v>
      </c>
      <c r="N180" s="62">
        <f t="shared" si="124"/>
        <v>0</v>
      </c>
    </row>
    <row r="181" spans="1:14" ht="24.75" hidden="1" customHeight="1" x14ac:dyDescent="0.2">
      <c r="A181" s="11" t="s">
        <v>331</v>
      </c>
      <c r="B181" s="11" t="s">
        <v>332</v>
      </c>
      <c r="C181" s="12" t="s">
        <v>28</v>
      </c>
      <c r="D181" s="13">
        <v>2</v>
      </c>
      <c r="E181" s="13">
        <f>[1]CPUs!I1315</f>
        <v>6.77</v>
      </c>
      <c r="F181" s="13">
        <v>8.36</v>
      </c>
      <c r="G181" s="13">
        <f t="shared" si="125"/>
        <v>16.72</v>
      </c>
      <c r="H181" s="13">
        <v>0</v>
      </c>
      <c r="I181" s="13">
        <v>0</v>
      </c>
      <c r="J181" s="13">
        <f t="shared" si="120"/>
        <v>0</v>
      </c>
      <c r="K181" s="13">
        <f t="shared" si="121"/>
        <v>0</v>
      </c>
      <c r="L181" s="13">
        <f t="shared" si="122"/>
        <v>0</v>
      </c>
      <c r="M181" s="13">
        <f t="shared" si="123"/>
        <v>0</v>
      </c>
      <c r="N181" s="62">
        <f t="shared" si="124"/>
        <v>0</v>
      </c>
    </row>
    <row r="182" spans="1:14" ht="24.75" hidden="1" customHeight="1" x14ac:dyDescent="0.2">
      <c r="A182" s="11" t="s">
        <v>333</v>
      </c>
      <c r="B182" s="11" t="s">
        <v>334</v>
      </c>
      <c r="C182" s="12" t="s">
        <v>46</v>
      </c>
      <c r="D182" s="13">
        <v>33.619999999999997</v>
      </c>
      <c r="E182" s="13">
        <f>[1]CPUs!I1326</f>
        <v>39.07</v>
      </c>
      <c r="F182" s="13">
        <v>48.3</v>
      </c>
      <c r="G182" s="13">
        <f>(F182*D182)</f>
        <v>1623.8459999999998</v>
      </c>
      <c r="H182" s="13">
        <v>0</v>
      </c>
      <c r="I182" s="13">
        <v>0</v>
      </c>
      <c r="J182" s="13">
        <f t="shared" si="120"/>
        <v>0</v>
      </c>
      <c r="K182" s="13">
        <f t="shared" si="121"/>
        <v>0</v>
      </c>
      <c r="L182" s="13">
        <f t="shared" si="122"/>
        <v>0</v>
      </c>
      <c r="M182" s="13">
        <f t="shared" si="123"/>
        <v>0</v>
      </c>
      <c r="N182" s="62">
        <f t="shared" si="124"/>
        <v>0</v>
      </c>
    </row>
    <row r="183" spans="1:14" ht="24.75" hidden="1" customHeight="1" x14ac:dyDescent="0.2">
      <c r="A183" s="11" t="s">
        <v>335</v>
      </c>
      <c r="B183" s="11" t="s">
        <v>336</v>
      </c>
      <c r="C183" s="12" t="s">
        <v>46</v>
      </c>
      <c r="D183" s="13">
        <v>4.38</v>
      </c>
      <c r="E183" s="13">
        <f>[1]CPUs!I1335</f>
        <v>40.380000000000003</v>
      </c>
      <c r="F183" s="13">
        <v>49.92</v>
      </c>
      <c r="G183" s="13">
        <f>(F183*D183)</f>
        <v>218.64959999999999</v>
      </c>
      <c r="H183" s="13">
        <v>0</v>
      </c>
      <c r="I183" s="13">
        <v>0</v>
      </c>
      <c r="J183" s="13">
        <f t="shared" si="120"/>
        <v>0</v>
      </c>
      <c r="K183" s="13">
        <f t="shared" si="121"/>
        <v>0</v>
      </c>
      <c r="L183" s="13">
        <f t="shared" si="122"/>
        <v>0</v>
      </c>
      <c r="M183" s="13">
        <f t="shared" si="123"/>
        <v>0</v>
      </c>
      <c r="N183" s="62">
        <f t="shared" si="124"/>
        <v>0</v>
      </c>
    </row>
    <row r="184" spans="1:14" ht="24.75" hidden="1" customHeight="1" x14ac:dyDescent="0.2">
      <c r="A184" s="11" t="s">
        <v>337</v>
      </c>
      <c r="B184" s="11" t="s">
        <v>338</v>
      </c>
      <c r="C184" s="12" t="s">
        <v>46</v>
      </c>
      <c r="D184" s="13">
        <v>5.51</v>
      </c>
      <c r="E184" s="13">
        <f>[1]CPUs!I1351</f>
        <v>33.479999999999997</v>
      </c>
      <c r="F184" s="13">
        <v>41.39</v>
      </c>
      <c r="G184" s="13">
        <f>(F184*D184)</f>
        <v>228.05889999999999</v>
      </c>
      <c r="H184" s="13">
        <v>0</v>
      </c>
      <c r="I184" s="13">
        <v>0</v>
      </c>
      <c r="J184" s="13">
        <f t="shared" si="120"/>
        <v>0</v>
      </c>
      <c r="K184" s="13">
        <f t="shared" si="121"/>
        <v>0</v>
      </c>
      <c r="L184" s="13">
        <f t="shared" si="122"/>
        <v>0</v>
      </c>
      <c r="M184" s="13">
        <f t="shared" si="123"/>
        <v>0</v>
      </c>
      <c r="N184" s="62">
        <f t="shared" si="124"/>
        <v>0</v>
      </c>
    </row>
    <row r="185" spans="1:14" ht="24.75" hidden="1" customHeight="1" x14ac:dyDescent="0.2">
      <c r="A185" s="11" t="s">
        <v>339</v>
      </c>
      <c r="B185" s="11" t="s">
        <v>340</v>
      </c>
      <c r="C185" s="12" t="s">
        <v>46</v>
      </c>
      <c r="D185" s="13">
        <v>10.09</v>
      </c>
      <c r="E185" s="13">
        <f>[1]CPUs!I1369</f>
        <v>28.46</v>
      </c>
      <c r="F185" s="13">
        <v>35.18</v>
      </c>
      <c r="G185" s="13">
        <f>(F185*D185)</f>
        <v>354.96620000000001</v>
      </c>
      <c r="H185" s="13">
        <v>0</v>
      </c>
      <c r="I185" s="13">
        <v>0</v>
      </c>
      <c r="J185" s="13">
        <f t="shared" si="120"/>
        <v>0</v>
      </c>
      <c r="K185" s="13">
        <f t="shared" si="121"/>
        <v>0</v>
      </c>
      <c r="L185" s="13">
        <f t="shared" si="122"/>
        <v>0</v>
      </c>
      <c r="M185" s="13">
        <f t="shared" si="123"/>
        <v>0</v>
      </c>
      <c r="N185" s="62">
        <f t="shared" si="124"/>
        <v>0</v>
      </c>
    </row>
    <row r="186" spans="1:14" ht="24.75" hidden="1" customHeight="1" x14ac:dyDescent="0.2">
      <c r="A186" s="11" t="s">
        <v>341</v>
      </c>
      <c r="B186" s="11" t="s">
        <v>342</v>
      </c>
      <c r="C186" s="12" t="s">
        <v>46</v>
      </c>
      <c r="D186" s="13">
        <v>159.06</v>
      </c>
      <c r="E186" s="13">
        <f>[1]CPUs!I1398</f>
        <v>37.83</v>
      </c>
      <c r="F186" s="13">
        <v>46.76</v>
      </c>
      <c r="G186" s="13">
        <f>(F186*D186)</f>
        <v>7437.6455999999998</v>
      </c>
      <c r="H186" s="13">
        <v>0</v>
      </c>
      <c r="I186" s="13">
        <v>0</v>
      </c>
      <c r="J186" s="13">
        <f t="shared" si="120"/>
        <v>0</v>
      </c>
      <c r="K186" s="13">
        <f t="shared" si="121"/>
        <v>0</v>
      </c>
      <c r="L186" s="13">
        <f t="shared" si="122"/>
        <v>0</v>
      </c>
      <c r="M186" s="13">
        <f t="shared" si="123"/>
        <v>0</v>
      </c>
      <c r="N186" s="62">
        <f t="shared" si="124"/>
        <v>0</v>
      </c>
    </row>
    <row r="187" spans="1:14" ht="24.75" hidden="1" customHeight="1" x14ac:dyDescent="0.2">
      <c r="A187" s="11" t="s">
        <v>343</v>
      </c>
      <c r="B187" s="11" t="s">
        <v>344</v>
      </c>
      <c r="C187" s="12" t="s">
        <v>46</v>
      </c>
      <c r="D187" s="13">
        <v>3.56</v>
      </c>
      <c r="E187" s="13">
        <f>[1]CPUs!I1428</f>
        <v>84.97</v>
      </c>
      <c r="F187" s="13">
        <v>105.04</v>
      </c>
      <c r="G187" s="13">
        <f t="shared" si="125"/>
        <v>373.94240000000002</v>
      </c>
      <c r="H187" s="13">
        <v>0</v>
      </c>
      <c r="I187" s="13">
        <v>0</v>
      </c>
      <c r="J187" s="13">
        <f t="shared" si="120"/>
        <v>0</v>
      </c>
      <c r="K187" s="13">
        <f t="shared" si="121"/>
        <v>0</v>
      </c>
      <c r="L187" s="13">
        <f t="shared" si="122"/>
        <v>0</v>
      </c>
      <c r="M187" s="13">
        <f t="shared" si="123"/>
        <v>0</v>
      </c>
      <c r="N187" s="62">
        <f t="shared" si="124"/>
        <v>0</v>
      </c>
    </row>
    <row r="188" spans="1:14" ht="24.75" hidden="1" customHeight="1" x14ac:dyDescent="0.2">
      <c r="A188" s="11" t="s">
        <v>345</v>
      </c>
      <c r="B188" s="11" t="s">
        <v>346</v>
      </c>
      <c r="C188" s="12" t="s">
        <v>46</v>
      </c>
      <c r="D188" s="13">
        <v>6.42</v>
      </c>
      <c r="E188" s="13">
        <f>[1]CPUs!I1445</f>
        <v>53.02</v>
      </c>
      <c r="F188" s="13">
        <v>65.540000000000006</v>
      </c>
      <c r="G188" s="13">
        <f>(F188*D188)</f>
        <v>420.76680000000005</v>
      </c>
      <c r="H188" s="13">
        <v>0</v>
      </c>
      <c r="I188" s="13">
        <v>0</v>
      </c>
      <c r="J188" s="13">
        <f t="shared" si="120"/>
        <v>0</v>
      </c>
      <c r="K188" s="13">
        <f t="shared" si="121"/>
        <v>0</v>
      </c>
      <c r="L188" s="13">
        <f t="shared" si="122"/>
        <v>0</v>
      </c>
      <c r="M188" s="13">
        <f t="shared" si="123"/>
        <v>0</v>
      </c>
      <c r="N188" s="62">
        <f t="shared" si="124"/>
        <v>0</v>
      </c>
    </row>
    <row r="189" spans="1:14" ht="24.75" hidden="1" customHeight="1" x14ac:dyDescent="0.2">
      <c r="A189" s="11" t="s">
        <v>347</v>
      </c>
      <c r="B189" s="11" t="s">
        <v>348</v>
      </c>
      <c r="C189" s="12" t="s">
        <v>46</v>
      </c>
      <c r="D189" s="13">
        <v>398.23</v>
      </c>
      <c r="E189" s="13">
        <f>[1]CPUs!I1461</f>
        <v>54.41</v>
      </c>
      <c r="F189" s="13">
        <v>67.260000000000005</v>
      </c>
      <c r="G189" s="13">
        <f>(F189*D189)</f>
        <v>26784.949800000002</v>
      </c>
      <c r="H189" s="13">
        <v>0</v>
      </c>
      <c r="I189" s="13">
        <v>0</v>
      </c>
      <c r="J189" s="13">
        <f t="shared" si="120"/>
        <v>0</v>
      </c>
      <c r="K189" s="13">
        <f t="shared" si="121"/>
        <v>0</v>
      </c>
      <c r="L189" s="13">
        <f t="shared" si="122"/>
        <v>0</v>
      </c>
      <c r="M189" s="13">
        <f t="shared" si="123"/>
        <v>0</v>
      </c>
      <c r="N189" s="62">
        <f t="shared" si="124"/>
        <v>0</v>
      </c>
    </row>
    <row r="190" spans="1:14" ht="24.75" hidden="1" customHeight="1" x14ac:dyDescent="0.2">
      <c r="A190" s="11" t="s">
        <v>349</v>
      </c>
      <c r="B190" s="11" t="s">
        <v>350</v>
      </c>
      <c r="C190" s="12" t="s">
        <v>46</v>
      </c>
      <c r="D190" s="13">
        <v>113.28</v>
      </c>
      <c r="E190" s="13">
        <f>[1]CPUs!I1483</f>
        <v>47.82</v>
      </c>
      <c r="F190" s="13">
        <v>59.11</v>
      </c>
      <c r="G190" s="13">
        <f t="shared" si="125"/>
        <v>6695.9808000000003</v>
      </c>
      <c r="H190" s="13">
        <v>0</v>
      </c>
      <c r="I190" s="13">
        <v>0</v>
      </c>
      <c r="J190" s="13">
        <f t="shared" si="120"/>
        <v>0</v>
      </c>
      <c r="K190" s="13">
        <f t="shared" si="121"/>
        <v>0</v>
      </c>
      <c r="L190" s="13">
        <f t="shared" si="122"/>
        <v>0</v>
      </c>
      <c r="M190" s="13">
        <f t="shared" si="123"/>
        <v>0</v>
      </c>
      <c r="N190" s="62">
        <f t="shared" si="124"/>
        <v>0</v>
      </c>
    </row>
    <row r="191" spans="1:14" ht="24.75" hidden="1" customHeight="1" x14ac:dyDescent="0.2">
      <c r="A191" s="11" t="s">
        <v>351</v>
      </c>
      <c r="B191" s="11" t="s">
        <v>352</v>
      </c>
      <c r="C191" s="12" t="s">
        <v>28</v>
      </c>
      <c r="D191" s="13">
        <v>2</v>
      </c>
      <c r="E191" s="13">
        <f>[1]CPUs!I1503</f>
        <v>823.04</v>
      </c>
      <c r="F191" s="13">
        <v>1017.52</v>
      </c>
      <c r="G191" s="13">
        <f t="shared" si="125"/>
        <v>2035.04</v>
      </c>
      <c r="H191" s="13">
        <v>0</v>
      </c>
      <c r="I191" s="13">
        <v>0</v>
      </c>
      <c r="J191" s="13">
        <f t="shared" si="120"/>
        <v>0</v>
      </c>
      <c r="K191" s="13">
        <f t="shared" si="121"/>
        <v>0</v>
      </c>
      <c r="L191" s="13">
        <f t="shared" si="122"/>
        <v>0</v>
      </c>
      <c r="M191" s="13">
        <f t="shared" si="123"/>
        <v>0</v>
      </c>
      <c r="N191" s="62">
        <f t="shared" si="124"/>
        <v>0</v>
      </c>
    </row>
    <row r="192" spans="1:14" ht="24.75" hidden="1" customHeight="1" x14ac:dyDescent="0.2">
      <c r="A192" s="11" t="s">
        <v>353</v>
      </c>
      <c r="B192" s="11" t="s">
        <v>354</v>
      </c>
      <c r="C192" s="12" t="s">
        <v>28</v>
      </c>
      <c r="D192" s="13">
        <v>5</v>
      </c>
      <c r="E192" s="13">
        <f>[1]CPUs!I1523</f>
        <v>469.57</v>
      </c>
      <c r="F192" s="13">
        <v>580.52</v>
      </c>
      <c r="G192" s="13">
        <f t="shared" si="125"/>
        <v>2902.6</v>
      </c>
      <c r="H192" s="13">
        <v>0</v>
      </c>
      <c r="I192" s="13">
        <v>0</v>
      </c>
      <c r="J192" s="13">
        <f t="shared" si="120"/>
        <v>0</v>
      </c>
      <c r="K192" s="13">
        <f t="shared" si="121"/>
        <v>0</v>
      </c>
      <c r="L192" s="13">
        <f t="shared" si="122"/>
        <v>0</v>
      </c>
      <c r="M192" s="13">
        <f t="shared" si="123"/>
        <v>0</v>
      </c>
      <c r="N192" s="62">
        <f t="shared" si="124"/>
        <v>0</v>
      </c>
    </row>
    <row r="193" spans="1:14" ht="24.75" hidden="1" customHeight="1" x14ac:dyDescent="0.2">
      <c r="A193" s="11" t="s">
        <v>355</v>
      </c>
      <c r="B193" s="11" t="s">
        <v>356</v>
      </c>
      <c r="C193" s="12" t="s">
        <v>28</v>
      </c>
      <c r="D193" s="13">
        <v>2</v>
      </c>
      <c r="E193" s="13">
        <f>[1]CPUs!I1543</f>
        <v>686.17</v>
      </c>
      <c r="F193" s="13">
        <v>848.31</v>
      </c>
      <c r="G193" s="13">
        <f t="shared" si="125"/>
        <v>1696.62</v>
      </c>
      <c r="H193" s="13">
        <v>0</v>
      </c>
      <c r="I193" s="13">
        <v>0</v>
      </c>
      <c r="J193" s="13">
        <f t="shared" si="120"/>
        <v>0</v>
      </c>
      <c r="K193" s="13">
        <f t="shared" si="121"/>
        <v>0</v>
      </c>
      <c r="L193" s="13">
        <f t="shared" si="122"/>
        <v>0</v>
      </c>
      <c r="M193" s="13">
        <f t="shared" si="123"/>
        <v>0</v>
      </c>
      <c r="N193" s="62">
        <f t="shared" si="124"/>
        <v>0</v>
      </c>
    </row>
    <row r="194" spans="1:14" ht="24.75" hidden="1" customHeight="1" x14ac:dyDescent="0.2">
      <c r="A194" s="11" t="s">
        <v>357</v>
      </c>
      <c r="B194" s="11" t="s">
        <v>358</v>
      </c>
      <c r="C194" s="12" t="s">
        <v>28</v>
      </c>
      <c r="D194" s="13">
        <v>2</v>
      </c>
      <c r="E194" s="13">
        <f>[1]CPUs!I1563</f>
        <v>40.21</v>
      </c>
      <c r="F194" s="13">
        <v>49.71</v>
      </c>
      <c r="G194" s="13">
        <f t="shared" si="125"/>
        <v>99.42</v>
      </c>
      <c r="H194" s="13">
        <v>0</v>
      </c>
      <c r="I194" s="13">
        <v>0</v>
      </c>
      <c r="J194" s="13">
        <f t="shared" si="120"/>
        <v>0</v>
      </c>
      <c r="K194" s="13">
        <f t="shared" si="121"/>
        <v>0</v>
      </c>
      <c r="L194" s="13">
        <f t="shared" si="122"/>
        <v>0</v>
      </c>
      <c r="M194" s="13">
        <f t="shared" si="123"/>
        <v>0</v>
      </c>
      <c r="N194" s="62">
        <f t="shared" si="124"/>
        <v>0</v>
      </c>
    </row>
    <row r="195" spans="1:14" ht="24.75" hidden="1" customHeight="1" x14ac:dyDescent="0.2">
      <c r="A195" s="11" t="s">
        <v>359</v>
      </c>
      <c r="B195" s="11" t="s">
        <v>360</v>
      </c>
      <c r="C195" s="12" t="s">
        <v>28</v>
      </c>
      <c r="D195" s="13">
        <v>16</v>
      </c>
      <c r="E195" s="13">
        <f>[1]CPUs!I1574</f>
        <v>85.92</v>
      </c>
      <c r="F195" s="13">
        <v>106.22</v>
      </c>
      <c r="G195" s="13">
        <f t="shared" si="125"/>
        <v>1699.52</v>
      </c>
      <c r="H195" s="13">
        <v>0</v>
      </c>
      <c r="I195" s="13">
        <v>0</v>
      </c>
      <c r="J195" s="13">
        <f t="shared" si="120"/>
        <v>0</v>
      </c>
      <c r="K195" s="13">
        <f t="shared" si="121"/>
        <v>0</v>
      </c>
      <c r="L195" s="13">
        <f t="shared" si="122"/>
        <v>0</v>
      </c>
      <c r="M195" s="13">
        <f t="shared" si="123"/>
        <v>0</v>
      </c>
      <c r="N195" s="62">
        <f t="shared" si="124"/>
        <v>0</v>
      </c>
    </row>
    <row r="196" spans="1:14" ht="24.75" hidden="1" customHeight="1" x14ac:dyDescent="0.2">
      <c r="A196" s="11" t="s">
        <v>361</v>
      </c>
      <c r="B196" s="11" t="s">
        <v>362</v>
      </c>
      <c r="C196" s="12" t="s">
        <v>28</v>
      </c>
      <c r="D196" s="13">
        <v>2</v>
      </c>
      <c r="E196" s="13">
        <f>[1]CPUs!I1587</f>
        <v>2116.0211249999998</v>
      </c>
      <c r="F196" s="13">
        <v>2616.0369168374996</v>
      </c>
      <c r="G196" s="13">
        <f t="shared" si="125"/>
        <v>5232.0738336749992</v>
      </c>
      <c r="H196" s="13">
        <v>0</v>
      </c>
      <c r="I196" s="13">
        <v>0</v>
      </c>
      <c r="J196" s="13">
        <f t="shared" si="120"/>
        <v>0</v>
      </c>
      <c r="K196" s="13">
        <f t="shared" si="121"/>
        <v>0</v>
      </c>
      <c r="L196" s="13">
        <f t="shared" si="122"/>
        <v>0</v>
      </c>
      <c r="M196" s="13">
        <f t="shared" si="123"/>
        <v>0</v>
      </c>
      <c r="N196" s="62">
        <f t="shared" si="124"/>
        <v>0</v>
      </c>
    </row>
    <row r="197" spans="1:14" ht="24.75" hidden="1" customHeight="1" x14ac:dyDescent="0.2">
      <c r="A197" s="11" t="s">
        <v>363</v>
      </c>
      <c r="B197" s="11" t="s">
        <v>364</v>
      </c>
      <c r="C197" s="12" t="s">
        <v>28</v>
      </c>
      <c r="D197" s="13">
        <v>5</v>
      </c>
      <c r="E197" s="13">
        <f>[1]CPUs!I1614</f>
        <v>10.09</v>
      </c>
      <c r="F197" s="13">
        <v>12.47</v>
      </c>
      <c r="G197" s="13">
        <f t="shared" si="125"/>
        <v>62.35</v>
      </c>
      <c r="H197" s="13">
        <v>0</v>
      </c>
      <c r="I197" s="13">
        <v>0</v>
      </c>
      <c r="J197" s="13">
        <f t="shared" si="120"/>
        <v>0</v>
      </c>
      <c r="K197" s="13">
        <f t="shared" si="121"/>
        <v>0</v>
      </c>
      <c r="L197" s="13">
        <f t="shared" si="122"/>
        <v>0</v>
      </c>
      <c r="M197" s="13">
        <f t="shared" si="123"/>
        <v>0</v>
      </c>
      <c r="N197" s="62">
        <f t="shared" si="124"/>
        <v>0</v>
      </c>
    </row>
    <row r="198" spans="1:14" ht="24.75" hidden="1" customHeight="1" x14ac:dyDescent="0.2">
      <c r="A198" s="11" t="s">
        <v>365</v>
      </c>
      <c r="B198" s="11" t="s">
        <v>366</v>
      </c>
      <c r="C198" s="12" t="s">
        <v>28</v>
      </c>
      <c r="D198" s="13">
        <v>12</v>
      </c>
      <c r="E198" s="13">
        <f>[1]CPUs!I1623</f>
        <v>88.79</v>
      </c>
      <c r="F198" s="13">
        <v>109.77</v>
      </c>
      <c r="G198" s="13">
        <f t="shared" si="125"/>
        <v>1317.24</v>
      </c>
      <c r="H198" s="13">
        <v>0</v>
      </c>
      <c r="I198" s="13">
        <v>0</v>
      </c>
      <c r="J198" s="13">
        <f t="shared" si="120"/>
        <v>0</v>
      </c>
      <c r="K198" s="13">
        <f t="shared" si="121"/>
        <v>0</v>
      </c>
      <c r="L198" s="13">
        <f t="shared" si="122"/>
        <v>0</v>
      </c>
      <c r="M198" s="13">
        <f t="shared" si="123"/>
        <v>0</v>
      </c>
      <c r="N198" s="62">
        <f t="shared" si="124"/>
        <v>0</v>
      </c>
    </row>
    <row r="199" spans="1:14" ht="24.75" hidden="1" customHeight="1" x14ac:dyDescent="0.2">
      <c r="A199" s="11" t="s">
        <v>367</v>
      </c>
      <c r="B199" s="11" t="s">
        <v>368</v>
      </c>
      <c r="C199" s="12" t="s">
        <v>28</v>
      </c>
      <c r="D199" s="13">
        <v>2</v>
      </c>
      <c r="E199" s="13">
        <f>[1]CPUs!I1632</f>
        <v>129.68</v>
      </c>
      <c r="F199" s="13">
        <v>160.32</v>
      </c>
      <c r="G199" s="13">
        <f t="shared" si="125"/>
        <v>320.64</v>
      </c>
      <c r="H199" s="13">
        <v>0</v>
      </c>
      <c r="I199" s="13">
        <v>0</v>
      </c>
      <c r="J199" s="13">
        <f t="shared" si="120"/>
        <v>0</v>
      </c>
      <c r="K199" s="13">
        <f t="shared" si="121"/>
        <v>0</v>
      </c>
      <c r="L199" s="13">
        <f t="shared" si="122"/>
        <v>0</v>
      </c>
      <c r="M199" s="13">
        <f t="shared" si="123"/>
        <v>0</v>
      </c>
      <c r="N199" s="62">
        <f t="shared" si="124"/>
        <v>0</v>
      </c>
    </row>
    <row r="200" spans="1:14" ht="24.75" hidden="1" customHeight="1" x14ac:dyDescent="0.2">
      <c r="A200" s="11" t="s">
        <v>369</v>
      </c>
      <c r="B200" s="11" t="s">
        <v>370</v>
      </c>
      <c r="C200" s="12" t="s">
        <v>28</v>
      </c>
      <c r="D200" s="13">
        <v>1</v>
      </c>
      <c r="E200" s="13">
        <f>[1]CPUs!I1641</f>
        <v>6318.4359999999988</v>
      </c>
      <c r="F200" s="13">
        <v>7811.4824267999984</v>
      </c>
      <c r="G200" s="13">
        <f t="shared" si="125"/>
        <v>7811.4824267999984</v>
      </c>
      <c r="H200" s="13">
        <v>0</v>
      </c>
      <c r="I200" s="13">
        <v>0</v>
      </c>
      <c r="J200" s="13">
        <f t="shared" si="120"/>
        <v>0</v>
      </c>
      <c r="K200" s="13">
        <f t="shared" si="121"/>
        <v>0</v>
      </c>
      <c r="L200" s="13">
        <f t="shared" si="122"/>
        <v>0</v>
      </c>
      <c r="M200" s="13">
        <f t="shared" si="123"/>
        <v>0</v>
      </c>
      <c r="N200" s="62">
        <f t="shared" si="124"/>
        <v>0</v>
      </c>
    </row>
    <row r="201" spans="1:14" ht="24.75" hidden="1" customHeight="1" x14ac:dyDescent="0.2">
      <c r="A201" s="16" t="s">
        <v>371</v>
      </c>
      <c r="B201" s="16" t="s">
        <v>372</v>
      </c>
      <c r="C201" s="16"/>
      <c r="D201" s="20"/>
      <c r="E201" s="19"/>
      <c r="F201" s="19"/>
      <c r="G201" s="20">
        <f>SUM(G202:G208)</f>
        <v>61245.231991399996</v>
      </c>
      <c r="H201" s="20"/>
      <c r="I201" s="19"/>
      <c r="J201" s="20"/>
      <c r="K201" s="20">
        <f t="shared" ref="K201:L201" si="126">SUM(K202:K208)</f>
        <v>0</v>
      </c>
      <c r="L201" s="20">
        <f t="shared" si="126"/>
        <v>0</v>
      </c>
      <c r="M201" s="20">
        <f>SUM(M202:M208)</f>
        <v>0</v>
      </c>
      <c r="N201" s="61">
        <f t="shared" si="124"/>
        <v>0</v>
      </c>
    </row>
    <row r="202" spans="1:14" ht="24.75" hidden="1" customHeight="1" x14ac:dyDescent="0.2">
      <c r="A202" s="11" t="s">
        <v>373</v>
      </c>
      <c r="B202" s="11" t="s">
        <v>374</v>
      </c>
      <c r="C202" s="12" t="s">
        <v>28</v>
      </c>
      <c r="D202" s="13">
        <v>1</v>
      </c>
      <c r="E202" s="13">
        <f>[1]CPUs!I1649</f>
        <v>132.38999999999999</v>
      </c>
      <c r="F202" s="13">
        <v>163.66999999999999</v>
      </c>
      <c r="G202" s="13">
        <f>D202*F202</f>
        <v>163.66999999999999</v>
      </c>
      <c r="H202" s="13">
        <v>0</v>
      </c>
      <c r="I202" s="13">
        <v>0</v>
      </c>
      <c r="J202" s="13">
        <f t="shared" ref="J202:J208" si="127">H202+I202</f>
        <v>0</v>
      </c>
      <c r="K202" s="13">
        <f t="shared" ref="K202:K208" si="128">H202*F202</f>
        <v>0</v>
      </c>
      <c r="L202" s="13">
        <f t="shared" ref="L202:L208" si="129">I202*F202</f>
        <v>0</v>
      </c>
      <c r="M202" s="13">
        <f t="shared" ref="M202:M208" si="130">J202*F202</f>
        <v>0</v>
      </c>
      <c r="N202" s="62">
        <f t="shared" ref="N202:N209" si="131">M202/G202</f>
        <v>0</v>
      </c>
    </row>
    <row r="203" spans="1:14" ht="24.75" hidden="1" customHeight="1" x14ac:dyDescent="0.2">
      <c r="A203" s="11" t="s">
        <v>375</v>
      </c>
      <c r="B203" s="11" t="s">
        <v>376</v>
      </c>
      <c r="C203" s="12" t="s">
        <v>28</v>
      </c>
      <c r="D203" s="13">
        <v>105</v>
      </c>
      <c r="E203" s="13">
        <f>[1]CPUs!I1662</f>
        <v>121.54</v>
      </c>
      <c r="F203" s="13">
        <v>150.25</v>
      </c>
      <c r="G203" s="13">
        <f t="shared" ref="G203:G208" si="132">D203*F203</f>
        <v>15776.25</v>
      </c>
      <c r="H203" s="13">
        <v>0</v>
      </c>
      <c r="I203" s="13">
        <v>0</v>
      </c>
      <c r="J203" s="13">
        <f t="shared" si="127"/>
        <v>0</v>
      </c>
      <c r="K203" s="13">
        <f t="shared" si="128"/>
        <v>0</v>
      </c>
      <c r="L203" s="13">
        <f t="shared" si="129"/>
        <v>0</v>
      </c>
      <c r="M203" s="13">
        <f t="shared" si="130"/>
        <v>0</v>
      </c>
      <c r="N203" s="62">
        <f t="shared" si="131"/>
        <v>0</v>
      </c>
    </row>
    <row r="204" spans="1:14" ht="24.75" hidden="1" customHeight="1" x14ac:dyDescent="0.2">
      <c r="A204" s="11" t="s">
        <v>377</v>
      </c>
      <c r="B204" s="11" t="s">
        <v>340</v>
      </c>
      <c r="C204" s="12" t="s">
        <v>46</v>
      </c>
      <c r="D204" s="13">
        <v>66.720190000000002</v>
      </c>
      <c r="E204" s="13">
        <f>[1]CPUs!I1672</f>
        <v>28.46</v>
      </c>
      <c r="F204" s="13">
        <v>35.18</v>
      </c>
      <c r="G204" s="13">
        <f>(F204*D204)</f>
        <v>2347.2162842000002</v>
      </c>
      <c r="H204" s="13">
        <v>0</v>
      </c>
      <c r="I204" s="13">
        <v>0</v>
      </c>
      <c r="J204" s="13">
        <f t="shared" si="127"/>
        <v>0</v>
      </c>
      <c r="K204" s="13">
        <f t="shared" si="128"/>
        <v>0</v>
      </c>
      <c r="L204" s="13">
        <f t="shared" si="129"/>
        <v>0</v>
      </c>
      <c r="M204" s="13">
        <f t="shared" si="130"/>
        <v>0</v>
      </c>
      <c r="N204" s="62">
        <f t="shared" si="131"/>
        <v>0</v>
      </c>
    </row>
    <row r="205" spans="1:14" ht="24.75" hidden="1" customHeight="1" x14ac:dyDescent="0.2">
      <c r="A205" s="11" t="s">
        <v>378</v>
      </c>
      <c r="B205" s="11" t="s">
        <v>336</v>
      </c>
      <c r="C205" s="12" t="s">
        <v>46</v>
      </c>
      <c r="D205" s="13">
        <v>9.4499999999999993</v>
      </c>
      <c r="E205" s="13">
        <f>[1]CPUs!I1701</f>
        <v>40.380000000000003</v>
      </c>
      <c r="F205" s="13">
        <v>49.92</v>
      </c>
      <c r="G205" s="13">
        <f t="shared" si="132"/>
        <v>471.74399999999997</v>
      </c>
      <c r="H205" s="13">
        <v>0</v>
      </c>
      <c r="I205" s="13">
        <v>0</v>
      </c>
      <c r="J205" s="13">
        <f t="shared" si="127"/>
        <v>0</v>
      </c>
      <c r="K205" s="13">
        <f t="shared" si="128"/>
        <v>0</v>
      </c>
      <c r="L205" s="13">
        <f t="shared" si="129"/>
        <v>0</v>
      </c>
      <c r="M205" s="13">
        <f t="shared" si="130"/>
        <v>0</v>
      </c>
      <c r="N205" s="62">
        <f t="shared" si="131"/>
        <v>0</v>
      </c>
    </row>
    <row r="206" spans="1:14" ht="24.75" hidden="1" customHeight="1" x14ac:dyDescent="0.2">
      <c r="A206" s="11" t="s">
        <v>379</v>
      </c>
      <c r="B206" s="11" t="s">
        <v>338</v>
      </c>
      <c r="C206" s="12" t="s">
        <v>46</v>
      </c>
      <c r="D206" s="13">
        <v>5.8</v>
      </c>
      <c r="E206" s="13">
        <f>[1]CPUs!I1717</f>
        <v>33.479999999999997</v>
      </c>
      <c r="F206" s="13">
        <v>41.39</v>
      </c>
      <c r="G206" s="13">
        <f t="shared" si="132"/>
        <v>240.06199999999998</v>
      </c>
      <c r="H206" s="13">
        <v>0</v>
      </c>
      <c r="I206" s="13">
        <v>0</v>
      </c>
      <c r="J206" s="13">
        <f t="shared" si="127"/>
        <v>0</v>
      </c>
      <c r="K206" s="13">
        <f t="shared" si="128"/>
        <v>0</v>
      </c>
      <c r="L206" s="13">
        <f t="shared" si="129"/>
        <v>0</v>
      </c>
      <c r="M206" s="13">
        <f t="shared" si="130"/>
        <v>0</v>
      </c>
      <c r="N206" s="62">
        <f t="shared" si="131"/>
        <v>0</v>
      </c>
    </row>
    <row r="207" spans="1:14" ht="24.75" hidden="1" customHeight="1" x14ac:dyDescent="0.2">
      <c r="A207" s="11" t="s">
        <v>380</v>
      </c>
      <c r="B207" s="11" t="s">
        <v>370</v>
      </c>
      <c r="C207" s="12" t="s">
        <v>28</v>
      </c>
      <c r="D207" s="13">
        <v>4</v>
      </c>
      <c r="E207" s="13">
        <f>[1]CPUs!I1735</f>
        <v>6318.4359999999988</v>
      </c>
      <c r="F207" s="13">
        <v>7811.4824267999984</v>
      </c>
      <c r="G207" s="13">
        <f>(F207*D207)</f>
        <v>31245.929707199994</v>
      </c>
      <c r="H207" s="13">
        <v>0</v>
      </c>
      <c r="I207" s="13">
        <v>0</v>
      </c>
      <c r="J207" s="13">
        <f t="shared" si="127"/>
        <v>0</v>
      </c>
      <c r="K207" s="13">
        <f t="shared" si="128"/>
        <v>0</v>
      </c>
      <c r="L207" s="13">
        <f t="shared" si="129"/>
        <v>0</v>
      </c>
      <c r="M207" s="13">
        <f t="shared" si="130"/>
        <v>0</v>
      </c>
      <c r="N207" s="62">
        <f t="shared" si="131"/>
        <v>0</v>
      </c>
    </row>
    <row r="208" spans="1:14" ht="24.75" hidden="1" customHeight="1" x14ac:dyDescent="0.2">
      <c r="A208" s="11" t="s">
        <v>381</v>
      </c>
      <c r="B208" s="11" t="s">
        <v>382</v>
      </c>
      <c r="C208" s="12" t="s">
        <v>28</v>
      </c>
      <c r="D208" s="13">
        <v>7</v>
      </c>
      <c r="E208" s="13">
        <f>[1]CPUs!I1743</f>
        <v>1271.1199999999999</v>
      </c>
      <c r="F208" s="13">
        <v>1571.48</v>
      </c>
      <c r="G208" s="13">
        <f t="shared" si="132"/>
        <v>11000.36</v>
      </c>
      <c r="H208" s="13">
        <v>0</v>
      </c>
      <c r="I208" s="13">
        <v>0</v>
      </c>
      <c r="J208" s="13">
        <f t="shared" si="127"/>
        <v>0</v>
      </c>
      <c r="K208" s="13">
        <f t="shared" si="128"/>
        <v>0</v>
      </c>
      <c r="L208" s="13">
        <f t="shared" si="129"/>
        <v>0</v>
      </c>
      <c r="M208" s="13">
        <f t="shared" si="130"/>
        <v>0</v>
      </c>
      <c r="N208" s="62">
        <f t="shared" si="131"/>
        <v>0</v>
      </c>
    </row>
    <row r="209" spans="1:14" ht="24.75" hidden="1" customHeight="1" x14ac:dyDescent="0.2">
      <c r="A209" s="16" t="s">
        <v>383</v>
      </c>
      <c r="B209" s="16" t="s">
        <v>384</v>
      </c>
      <c r="C209" s="16"/>
      <c r="D209" s="20"/>
      <c r="E209" s="19"/>
      <c r="F209" s="19"/>
      <c r="G209" s="20">
        <f t="shared" ref="G209" si="133">SUM(G210:G222)</f>
        <v>108234.42331222695</v>
      </c>
      <c r="H209" s="20"/>
      <c r="I209" s="19"/>
      <c r="J209" s="20"/>
      <c r="K209" s="20">
        <f t="shared" ref="K209:L209" si="134">SUM(K210:K222)</f>
        <v>0</v>
      </c>
      <c r="L209" s="20">
        <f t="shared" si="134"/>
        <v>0</v>
      </c>
      <c r="M209" s="20">
        <f>SUM(M210:M222)</f>
        <v>0</v>
      </c>
      <c r="N209" s="61">
        <f t="shared" si="131"/>
        <v>0</v>
      </c>
    </row>
    <row r="210" spans="1:14" ht="24.75" hidden="1" customHeight="1" x14ac:dyDescent="0.2">
      <c r="A210" s="11" t="s">
        <v>385</v>
      </c>
      <c r="B210" s="11" t="s">
        <v>386</v>
      </c>
      <c r="C210" s="12" t="s">
        <v>28</v>
      </c>
      <c r="D210" s="13">
        <v>1</v>
      </c>
      <c r="E210" s="13">
        <f>[1]CPUs!I1763</f>
        <v>489.35</v>
      </c>
      <c r="F210" s="13">
        <v>604.98</v>
      </c>
      <c r="G210" s="13">
        <f>D210*F210</f>
        <v>604.98</v>
      </c>
      <c r="H210" s="13">
        <v>0</v>
      </c>
      <c r="I210" s="13">
        <v>0</v>
      </c>
      <c r="J210" s="13">
        <f t="shared" ref="J210:J222" si="135">H210+I210</f>
        <v>0</v>
      </c>
      <c r="K210" s="13">
        <f t="shared" ref="K210:K222" si="136">H210*F210</f>
        <v>0</v>
      </c>
      <c r="L210" s="13">
        <f t="shared" ref="L210:L222" si="137">I210*F210</f>
        <v>0</v>
      </c>
      <c r="M210" s="13">
        <f t="shared" ref="M210:M222" si="138">J210*F210</f>
        <v>0</v>
      </c>
      <c r="N210" s="62">
        <f t="shared" ref="N210:N223" si="139">M210/G210</f>
        <v>0</v>
      </c>
    </row>
    <row r="211" spans="1:14" ht="24.75" hidden="1" customHeight="1" x14ac:dyDescent="0.2">
      <c r="A211" s="11" t="s">
        <v>387</v>
      </c>
      <c r="B211" s="11" t="s">
        <v>388</v>
      </c>
      <c r="C211" s="12" t="s">
        <v>28</v>
      </c>
      <c r="D211" s="13">
        <v>100</v>
      </c>
      <c r="E211" s="13">
        <f>[1]CPUs!I1774</f>
        <v>28.43</v>
      </c>
      <c r="F211" s="13">
        <v>35.14</v>
      </c>
      <c r="G211" s="13">
        <f t="shared" ref="G211:G222" si="140">D211*F211</f>
        <v>3514</v>
      </c>
      <c r="H211" s="13">
        <v>0</v>
      </c>
      <c r="I211" s="13">
        <v>0</v>
      </c>
      <c r="J211" s="13">
        <f t="shared" si="135"/>
        <v>0</v>
      </c>
      <c r="K211" s="13">
        <f t="shared" si="136"/>
        <v>0</v>
      </c>
      <c r="L211" s="13">
        <f t="shared" si="137"/>
        <v>0</v>
      </c>
      <c r="M211" s="13">
        <f t="shared" si="138"/>
        <v>0</v>
      </c>
      <c r="N211" s="62">
        <f t="shared" si="139"/>
        <v>0</v>
      </c>
    </row>
    <row r="212" spans="1:14" ht="24.75" hidden="1" customHeight="1" x14ac:dyDescent="0.2">
      <c r="A212" s="11" t="s">
        <v>389</v>
      </c>
      <c r="B212" s="11" t="s">
        <v>390</v>
      </c>
      <c r="C212" s="12" t="s">
        <v>28</v>
      </c>
      <c r="D212" s="13">
        <v>62</v>
      </c>
      <c r="E212" s="13">
        <f>[1]CPUs!I1785</f>
        <v>285.37</v>
      </c>
      <c r="F212" s="13">
        <v>352.8</v>
      </c>
      <c r="G212" s="13">
        <f t="shared" si="140"/>
        <v>21873.600000000002</v>
      </c>
      <c r="H212" s="13">
        <v>0</v>
      </c>
      <c r="I212" s="13">
        <v>0</v>
      </c>
      <c r="J212" s="13">
        <f t="shared" si="135"/>
        <v>0</v>
      </c>
      <c r="K212" s="13">
        <f t="shared" si="136"/>
        <v>0</v>
      </c>
      <c r="L212" s="13">
        <f t="shared" si="137"/>
        <v>0</v>
      </c>
      <c r="M212" s="13">
        <f t="shared" si="138"/>
        <v>0</v>
      </c>
      <c r="N212" s="62">
        <f t="shared" si="139"/>
        <v>0</v>
      </c>
    </row>
    <row r="213" spans="1:14" ht="24.75" hidden="1" customHeight="1" x14ac:dyDescent="0.2">
      <c r="A213" s="11" t="s">
        <v>391</v>
      </c>
      <c r="B213" s="11" t="s">
        <v>392</v>
      </c>
      <c r="C213" s="12" t="s">
        <v>28</v>
      </c>
      <c r="D213" s="13">
        <v>39</v>
      </c>
      <c r="E213" s="13">
        <f>[1]CPUs!I1806</f>
        <v>87.55</v>
      </c>
      <c r="F213" s="13">
        <v>108.23</v>
      </c>
      <c r="G213" s="13">
        <f t="shared" si="140"/>
        <v>4220.97</v>
      </c>
      <c r="H213" s="13">
        <v>0</v>
      </c>
      <c r="I213" s="13">
        <v>0</v>
      </c>
      <c r="J213" s="13">
        <f t="shared" si="135"/>
        <v>0</v>
      </c>
      <c r="K213" s="13">
        <f t="shared" si="136"/>
        <v>0</v>
      </c>
      <c r="L213" s="13">
        <f t="shared" si="137"/>
        <v>0</v>
      </c>
      <c r="M213" s="13">
        <f t="shared" si="138"/>
        <v>0</v>
      </c>
      <c r="N213" s="62">
        <f t="shared" si="139"/>
        <v>0</v>
      </c>
    </row>
    <row r="214" spans="1:14" ht="24.75" hidden="1" customHeight="1" x14ac:dyDescent="0.2">
      <c r="A214" s="11" t="s">
        <v>393</v>
      </c>
      <c r="B214" s="11" t="s">
        <v>394</v>
      </c>
      <c r="C214" s="12" t="s">
        <v>28</v>
      </c>
      <c r="D214" s="13">
        <v>4</v>
      </c>
      <c r="E214" s="13">
        <f>[1]CPUs!I1817</f>
        <v>342.53</v>
      </c>
      <c r="F214" s="13">
        <v>423.46</v>
      </c>
      <c r="G214" s="13">
        <f t="shared" si="140"/>
        <v>1693.84</v>
      </c>
      <c r="H214" s="13">
        <v>0</v>
      </c>
      <c r="I214" s="13">
        <v>0</v>
      </c>
      <c r="J214" s="13">
        <f t="shared" si="135"/>
        <v>0</v>
      </c>
      <c r="K214" s="13">
        <f t="shared" si="136"/>
        <v>0</v>
      </c>
      <c r="L214" s="13">
        <f t="shared" si="137"/>
        <v>0</v>
      </c>
      <c r="M214" s="13">
        <f t="shared" si="138"/>
        <v>0</v>
      </c>
      <c r="N214" s="62">
        <f t="shared" si="139"/>
        <v>0</v>
      </c>
    </row>
    <row r="215" spans="1:14" ht="24.75" hidden="1" customHeight="1" x14ac:dyDescent="0.2">
      <c r="A215" s="11" t="s">
        <v>395</v>
      </c>
      <c r="B215" s="11" t="s">
        <v>396</v>
      </c>
      <c r="C215" s="12" t="s">
        <v>28</v>
      </c>
      <c r="D215" s="13">
        <v>3</v>
      </c>
      <c r="E215" s="13">
        <f>[1]CPUs!I1826</f>
        <v>2288.2885255000006</v>
      </c>
      <c r="F215" s="13">
        <v>2829.0111040756506</v>
      </c>
      <c r="G215" s="13">
        <f t="shared" si="140"/>
        <v>8487.0333122269512</v>
      </c>
      <c r="H215" s="13">
        <v>0</v>
      </c>
      <c r="I215" s="13">
        <v>0</v>
      </c>
      <c r="J215" s="13">
        <f t="shared" si="135"/>
        <v>0</v>
      </c>
      <c r="K215" s="13">
        <f t="shared" si="136"/>
        <v>0</v>
      </c>
      <c r="L215" s="13">
        <f t="shared" si="137"/>
        <v>0</v>
      </c>
      <c r="M215" s="13">
        <f t="shared" si="138"/>
        <v>0</v>
      </c>
      <c r="N215" s="62">
        <f t="shared" si="139"/>
        <v>0</v>
      </c>
    </row>
    <row r="216" spans="1:14" ht="24.75" hidden="1" customHeight="1" x14ac:dyDescent="0.2">
      <c r="A216" s="11" t="s">
        <v>397</v>
      </c>
      <c r="B216" s="11" t="s">
        <v>398</v>
      </c>
      <c r="C216" s="12" t="s">
        <v>28</v>
      </c>
      <c r="D216" s="13">
        <v>2</v>
      </c>
      <c r="E216" s="13">
        <f>[1]CPUs!I1853</f>
        <v>1871.68</v>
      </c>
      <c r="F216" s="13">
        <v>2313.9499999999998</v>
      </c>
      <c r="G216" s="13">
        <f t="shared" si="140"/>
        <v>4627.8999999999996</v>
      </c>
      <c r="H216" s="13">
        <v>0</v>
      </c>
      <c r="I216" s="13">
        <v>0</v>
      </c>
      <c r="J216" s="13">
        <f t="shared" si="135"/>
        <v>0</v>
      </c>
      <c r="K216" s="13">
        <f t="shared" si="136"/>
        <v>0</v>
      </c>
      <c r="L216" s="13">
        <f t="shared" si="137"/>
        <v>0</v>
      </c>
      <c r="M216" s="13">
        <f t="shared" si="138"/>
        <v>0</v>
      </c>
      <c r="N216" s="62">
        <f t="shared" si="139"/>
        <v>0</v>
      </c>
    </row>
    <row r="217" spans="1:14" ht="24.75" hidden="1" customHeight="1" x14ac:dyDescent="0.2">
      <c r="A217" s="11" t="s">
        <v>399</v>
      </c>
      <c r="B217" s="11" t="s">
        <v>400</v>
      </c>
      <c r="C217" s="12" t="s">
        <v>28</v>
      </c>
      <c r="D217" s="13">
        <v>6</v>
      </c>
      <c r="E217" s="13">
        <f>[1]CPUs!I1878</f>
        <v>492.99</v>
      </c>
      <c r="F217" s="13">
        <v>609.48</v>
      </c>
      <c r="G217" s="13">
        <f t="shared" si="140"/>
        <v>3656.88</v>
      </c>
      <c r="H217" s="13">
        <v>0</v>
      </c>
      <c r="I217" s="13">
        <v>0</v>
      </c>
      <c r="J217" s="13">
        <f t="shared" si="135"/>
        <v>0</v>
      </c>
      <c r="K217" s="13">
        <f t="shared" si="136"/>
        <v>0</v>
      </c>
      <c r="L217" s="13">
        <f t="shared" si="137"/>
        <v>0</v>
      </c>
      <c r="M217" s="13">
        <f t="shared" si="138"/>
        <v>0</v>
      </c>
      <c r="N217" s="62">
        <f t="shared" si="139"/>
        <v>0</v>
      </c>
    </row>
    <row r="218" spans="1:14" ht="24.75" hidden="1" customHeight="1" x14ac:dyDescent="0.2">
      <c r="A218" s="11" t="s">
        <v>401</v>
      </c>
      <c r="B218" s="11" t="s">
        <v>356</v>
      </c>
      <c r="C218" s="12" t="s">
        <v>28</v>
      </c>
      <c r="D218" s="13">
        <v>1</v>
      </c>
      <c r="E218" s="13">
        <f>[1]CPUs!I1898</f>
        <v>686.17</v>
      </c>
      <c r="F218" s="13">
        <v>848.31</v>
      </c>
      <c r="G218" s="13">
        <f t="shared" si="140"/>
        <v>848.31</v>
      </c>
      <c r="H218" s="13">
        <v>0</v>
      </c>
      <c r="I218" s="13">
        <v>0</v>
      </c>
      <c r="J218" s="13">
        <f t="shared" si="135"/>
        <v>0</v>
      </c>
      <c r="K218" s="13">
        <f t="shared" si="136"/>
        <v>0</v>
      </c>
      <c r="L218" s="13">
        <f t="shared" si="137"/>
        <v>0</v>
      </c>
      <c r="M218" s="13">
        <f t="shared" si="138"/>
        <v>0</v>
      </c>
      <c r="N218" s="62">
        <f t="shared" si="139"/>
        <v>0</v>
      </c>
    </row>
    <row r="219" spans="1:14" ht="24.75" hidden="1" customHeight="1" x14ac:dyDescent="0.2">
      <c r="A219" s="11" t="s">
        <v>402</v>
      </c>
      <c r="B219" s="11" t="s">
        <v>403</v>
      </c>
      <c r="C219" s="12" t="s">
        <v>28</v>
      </c>
      <c r="D219" s="13">
        <v>4</v>
      </c>
      <c r="E219" s="13">
        <f>[1]CPUs!I1918</f>
        <v>15.85</v>
      </c>
      <c r="F219" s="13">
        <v>19.59</v>
      </c>
      <c r="G219" s="13">
        <f t="shared" si="140"/>
        <v>78.36</v>
      </c>
      <c r="H219" s="13">
        <v>0</v>
      </c>
      <c r="I219" s="13">
        <v>0</v>
      </c>
      <c r="J219" s="13">
        <f t="shared" si="135"/>
        <v>0</v>
      </c>
      <c r="K219" s="13">
        <f t="shared" si="136"/>
        <v>0</v>
      </c>
      <c r="L219" s="13">
        <f t="shared" si="137"/>
        <v>0</v>
      </c>
      <c r="M219" s="13">
        <f t="shared" si="138"/>
        <v>0</v>
      </c>
      <c r="N219" s="62">
        <f t="shared" si="139"/>
        <v>0</v>
      </c>
    </row>
    <row r="220" spans="1:14" ht="24.75" hidden="1" customHeight="1" x14ac:dyDescent="0.2">
      <c r="A220" s="11" t="s">
        <v>404</v>
      </c>
      <c r="B220" s="11" t="s">
        <v>405</v>
      </c>
      <c r="C220" s="12" t="s">
        <v>28</v>
      </c>
      <c r="D220" s="13">
        <v>54</v>
      </c>
      <c r="E220" s="13">
        <f>[1]CPUs!I1929</f>
        <v>162.43</v>
      </c>
      <c r="F220" s="13">
        <v>200.81</v>
      </c>
      <c r="G220" s="13">
        <f t="shared" si="140"/>
        <v>10843.74</v>
      </c>
      <c r="H220" s="13">
        <v>0</v>
      </c>
      <c r="I220" s="13">
        <v>0</v>
      </c>
      <c r="J220" s="13">
        <f t="shared" si="135"/>
        <v>0</v>
      </c>
      <c r="K220" s="13">
        <f t="shared" si="136"/>
        <v>0</v>
      </c>
      <c r="L220" s="13">
        <f t="shared" si="137"/>
        <v>0</v>
      </c>
      <c r="M220" s="13">
        <f t="shared" si="138"/>
        <v>0</v>
      </c>
      <c r="N220" s="62">
        <f t="shared" si="139"/>
        <v>0</v>
      </c>
    </row>
    <row r="221" spans="1:14" ht="24.75" hidden="1" customHeight="1" x14ac:dyDescent="0.2">
      <c r="A221" s="11" t="s">
        <v>406</v>
      </c>
      <c r="B221" s="11" t="s">
        <v>407</v>
      </c>
      <c r="C221" s="12" t="s">
        <v>28</v>
      </c>
      <c r="D221" s="13">
        <v>2</v>
      </c>
      <c r="E221" s="13">
        <f>[1]CPUs!I1946</f>
        <v>449.43</v>
      </c>
      <c r="F221" s="13">
        <v>555.63</v>
      </c>
      <c r="G221" s="13">
        <f t="shared" si="140"/>
        <v>1111.26</v>
      </c>
      <c r="H221" s="13">
        <v>0</v>
      </c>
      <c r="I221" s="13">
        <v>0</v>
      </c>
      <c r="J221" s="13">
        <f t="shared" si="135"/>
        <v>0</v>
      </c>
      <c r="K221" s="13">
        <f t="shared" si="136"/>
        <v>0</v>
      </c>
      <c r="L221" s="13">
        <f t="shared" si="137"/>
        <v>0</v>
      </c>
      <c r="M221" s="13">
        <f t="shared" si="138"/>
        <v>0</v>
      </c>
      <c r="N221" s="62">
        <f t="shared" si="139"/>
        <v>0</v>
      </c>
    </row>
    <row r="222" spans="1:14" ht="24.75" hidden="1" customHeight="1" x14ac:dyDescent="0.2">
      <c r="A222" s="11" t="s">
        <v>408</v>
      </c>
      <c r="B222" s="11" t="s">
        <v>409</v>
      </c>
      <c r="C222" s="12" t="s">
        <v>28</v>
      </c>
      <c r="D222" s="13">
        <v>77</v>
      </c>
      <c r="E222" s="13">
        <f>[1]CPUs!I1965</f>
        <v>490.3</v>
      </c>
      <c r="F222" s="13">
        <v>606.15</v>
      </c>
      <c r="G222" s="13">
        <f t="shared" si="140"/>
        <v>46673.549999999996</v>
      </c>
      <c r="H222" s="13">
        <v>0</v>
      </c>
      <c r="I222" s="13">
        <v>0</v>
      </c>
      <c r="J222" s="13">
        <f t="shared" si="135"/>
        <v>0</v>
      </c>
      <c r="K222" s="13">
        <f t="shared" si="136"/>
        <v>0</v>
      </c>
      <c r="L222" s="13">
        <f t="shared" si="137"/>
        <v>0</v>
      </c>
      <c r="M222" s="13">
        <f t="shared" si="138"/>
        <v>0</v>
      </c>
      <c r="N222" s="62">
        <f t="shared" si="139"/>
        <v>0</v>
      </c>
    </row>
    <row r="223" spans="1:14" ht="24.75" hidden="1" customHeight="1" x14ac:dyDescent="0.2">
      <c r="A223" s="16" t="s">
        <v>410</v>
      </c>
      <c r="B223" s="16" t="s">
        <v>411</v>
      </c>
      <c r="C223" s="16"/>
      <c r="D223" s="20"/>
      <c r="E223" s="19"/>
      <c r="F223" s="19"/>
      <c r="G223" s="20">
        <f t="shared" ref="G223" si="141">SUM(G224:G228)</f>
        <v>8758.8118458799981</v>
      </c>
      <c r="H223" s="20"/>
      <c r="I223" s="19"/>
      <c r="J223" s="20"/>
      <c r="K223" s="20">
        <f t="shared" ref="K223:L223" si="142">SUM(K224:K228)</f>
        <v>0</v>
      </c>
      <c r="L223" s="20">
        <f t="shared" si="142"/>
        <v>0</v>
      </c>
      <c r="M223" s="20">
        <f>SUM(M224:M228)</f>
        <v>0</v>
      </c>
      <c r="N223" s="61">
        <f t="shared" si="139"/>
        <v>0</v>
      </c>
    </row>
    <row r="224" spans="1:14" ht="24.75" hidden="1" customHeight="1" x14ac:dyDescent="0.2">
      <c r="A224" s="11" t="s">
        <v>412</v>
      </c>
      <c r="B224" s="11" t="s">
        <v>413</v>
      </c>
      <c r="C224" s="12" t="s">
        <v>28</v>
      </c>
      <c r="D224" s="13">
        <v>2</v>
      </c>
      <c r="E224" s="13">
        <f>[1]CPUs!I1985</f>
        <v>1180.7537999999997</v>
      </c>
      <c r="F224" s="13">
        <v>1459.7659229399997</v>
      </c>
      <c r="G224" s="13">
        <f>D224*F224</f>
        <v>2919.5318458799993</v>
      </c>
      <c r="H224" s="13">
        <v>0</v>
      </c>
      <c r="I224" s="13">
        <v>0</v>
      </c>
      <c r="J224" s="13">
        <f>H224+I224</f>
        <v>0</v>
      </c>
      <c r="K224" s="13">
        <f>H224*F224</f>
        <v>0</v>
      </c>
      <c r="L224" s="13">
        <f>I224*F224</f>
        <v>0</v>
      </c>
      <c r="M224" s="13">
        <f>J224*F224</f>
        <v>0</v>
      </c>
      <c r="N224" s="62">
        <f t="shared" ref="N224:N230" si="143">M224/G224</f>
        <v>0</v>
      </c>
    </row>
    <row r="225" spans="1:14" ht="24.75" hidden="1" customHeight="1" x14ac:dyDescent="0.2">
      <c r="A225" s="11" t="s">
        <v>414</v>
      </c>
      <c r="B225" s="11" t="s">
        <v>415</v>
      </c>
      <c r="C225" s="12" t="s">
        <v>28</v>
      </c>
      <c r="D225" s="13">
        <v>1</v>
      </c>
      <c r="E225" s="13">
        <f>[1]CPUs!I1998</f>
        <v>73.94</v>
      </c>
      <c r="F225" s="13">
        <v>91.41</v>
      </c>
      <c r="G225" s="13">
        <f t="shared" ref="G225:G228" si="144">D225*F225</f>
        <v>91.41</v>
      </c>
      <c r="H225" s="13">
        <v>0</v>
      </c>
      <c r="I225" s="13">
        <v>0</v>
      </c>
      <c r="J225" s="13">
        <f>H225+I225</f>
        <v>0</v>
      </c>
      <c r="K225" s="13">
        <f>H225*F225</f>
        <v>0</v>
      </c>
      <c r="L225" s="13">
        <f>I225*F225</f>
        <v>0</v>
      </c>
      <c r="M225" s="13">
        <f>J225*F225</f>
        <v>0</v>
      </c>
      <c r="N225" s="62">
        <f t="shared" si="143"/>
        <v>0</v>
      </c>
    </row>
    <row r="226" spans="1:14" ht="24.75" hidden="1" customHeight="1" x14ac:dyDescent="0.2">
      <c r="A226" s="11" t="s">
        <v>416</v>
      </c>
      <c r="B226" s="11" t="s">
        <v>417</v>
      </c>
      <c r="C226" s="12" t="s">
        <v>28</v>
      </c>
      <c r="D226" s="13">
        <v>1</v>
      </c>
      <c r="E226" s="13">
        <f>[1]CPUs!I2009</f>
        <v>2668.084625</v>
      </c>
      <c r="F226" s="13">
        <v>3329.62</v>
      </c>
      <c r="G226" s="13">
        <f t="shared" si="144"/>
        <v>3329.62</v>
      </c>
      <c r="H226" s="13">
        <v>0</v>
      </c>
      <c r="I226" s="13">
        <v>0</v>
      </c>
      <c r="J226" s="13">
        <f>H226+I226</f>
        <v>0</v>
      </c>
      <c r="K226" s="13">
        <f>H226*F226</f>
        <v>0</v>
      </c>
      <c r="L226" s="13">
        <f>I226*F226</f>
        <v>0</v>
      </c>
      <c r="M226" s="13">
        <f>J226*F226</f>
        <v>0</v>
      </c>
      <c r="N226" s="62">
        <f t="shared" si="143"/>
        <v>0</v>
      </c>
    </row>
    <row r="227" spans="1:14" ht="24.75" hidden="1" customHeight="1" x14ac:dyDescent="0.2">
      <c r="A227" s="11" t="s">
        <v>418</v>
      </c>
      <c r="B227" s="11" t="s">
        <v>398</v>
      </c>
      <c r="C227" s="12" t="s">
        <v>28</v>
      </c>
      <c r="D227" s="13">
        <v>1</v>
      </c>
      <c r="E227" s="13">
        <f>[1]CPUs!I2035</f>
        <v>1871.68</v>
      </c>
      <c r="F227" s="13">
        <v>2313.9499999999998</v>
      </c>
      <c r="G227" s="13">
        <f t="shared" si="144"/>
        <v>2313.9499999999998</v>
      </c>
      <c r="H227" s="13">
        <v>0</v>
      </c>
      <c r="I227" s="13">
        <v>0</v>
      </c>
      <c r="J227" s="13">
        <f>H227+I227</f>
        <v>0</v>
      </c>
      <c r="K227" s="13">
        <f>H227*F227</f>
        <v>0</v>
      </c>
      <c r="L227" s="13">
        <f>I227*F227</f>
        <v>0</v>
      </c>
      <c r="M227" s="13">
        <f>J227*F227</f>
        <v>0</v>
      </c>
      <c r="N227" s="62">
        <f t="shared" si="143"/>
        <v>0</v>
      </c>
    </row>
    <row r="228" spans="1:14" ht="24.75" hidden="1" customHeight="1" x14ac:dyDescent="0.2">
      <c r="A228" s="11" t="s">
        <v>419</v>
      </c>
      <c r="B228" s="11" t="s">
        <v>420</v>
      </c>
      <c r="C228" s="12" t="s">
        <v>28</v>
      </c>
      <c r="D228" s="13">
        <v>1</v>
      </c>
      <c r="E228" s="13">
        <f>[1]CPUs!I2062</f>
        <v>84.37</v>
      </c>
      <c r="F228" s="13">
        <v>104.3</v>
      </c>
      <c r="G228" s="13">
        <f t="shared" si="144"/>
        <v>104.3</v>
      </c>
      <c r="H228" s="13">
        <v>0</v>
      </c>
      <c r="I228" s="13">
        <v>0</v>
      </c>
      <c r="J228" s="13">
        <f>H228+I228</f>
        <v>0</v>
      </c>
      <c r="K228" s="13">
        <f>H228*F228</f>
        <v>0</v>
      </c>
      <c r="L228" s="13">
        <f>I228*F228</f>
        <v>0</v>
      </c>
      <c r="M228" s="13">
        <f>J228*F228</f>
        <v>0</v>
      </c>
      <c r="N228" s="62">
        <f t="shared" si="143"/>
        <v>0</v>
      </c>
    </row>
    <row r="229" spans="1:14" ht="24.75" hidden="1" customHeight="1" x14ac:dyDescent="0.2">
      <c r="A229" s="16" t="s">
        <v>421</v>
      </c>
      <c r="B229" s="16" t="s">
        <v>422</v>
      </c>
      <c r="C229" s="16"/>
      <c r="D229" s="20"/>
      <c r="E229" s="19"/>
      <c r="F229" s="19"/>
      <c r="G229" s="20">
        <f>(G230+G236+G253+G283+G291+G303+G315+G325)-0.01</f>
        <v>1123079.6726381858</v>
      </c>
      <c r="H229" s="20"/>
      <c r="I229" s="19"/>
      <c r="J229" s="20"/>
      <c r="K229" s="20">
        <f t="shared" ref="K229" si="145">K230+K236+K253+K283+K291+K303+K315+K325</f>
        <v>0</v>
      </c>
      <c r="L229" s="20">
        <f t="shared" ref="L229" si="146">L230+L236+L253+L283+L291+L303+L315+L325</f>
        <v>0</v>
      </c>
      <c r="M229" s="20">
        <f>M230+M236+M253+M283+M291+M303+M315+M325</f>
        <v>0</v>
      </c>
      <c r="N229" s="61">
        <f t="shared" si="143"/>
        <v>0</v>
      </c>
    </row>
    <row r="230" spans="1:14" ht="24.75" hidden="1" customHeight="1" x14ac:dyDescent="0.2">
      <c r="A230" s="16" t="s">
        <v>423</v>
      </c>
      <c r="B230" s="16" t="s">
        <v>424</v>
      </c>
      <c r="C230" s="16"/>
      <c r="D230" s="20"/>
      <c r="E230" s="19"/>
      <c r="F230" s="19"/>
      <c r="G230" s="20">
        <f t="shared" ref="G230" si="147">SUM(G231:G235)</f>
        <v>277382.35413757717</v>
      </c>
      <c r="H230" s="20"/>
      <c r="I230" s="19"/>
      <c r="J230" s="20"/>
      <c r="K230" s="20">
        <f t="shared" ref="K230" si="148">SUM(K231:K235)</f>
        <v>0</v>
      </c>
      <c r="L230" s="20">
        <f t="shared" ref="L230" si="149">SUM(L231:L235)</f>
        <v>0</v>
      </c>
      <c r="M230" s="20">
        <f>SUM(M231:M235)</f>
        <v>0</v>
      </c>
      <c r="N230" s="61">
        <f t="shared" si="143"/>
        <v>0</v>
      </c>
    </row>
    <row r="231" spans="1:14" ht="24.75" hidden="1" customHeight="1" x14ac:dyDescent="0.2">
      <c r="A231" s="11" t="s">
        <v>425</v>
      </c>
      <c r="B231" s="11" t="s">
        <v>426</v>
      </c>
      <c r="C231" s="12" t="s">
        <v>28</v>
      </c>
      <c r="D231" s="13">
        <v>889</v>
      </c>
      <c r="E231" s="13">
        <f>[1]CPUs!I2070</f>
        <v>127.45674232729601</v>
      </c>
      <c r="F231" s="13">
        <v>157.57477053923606</v>
      </c>
      <c r="G231" s="13">
        <f>D231*F231</f>
        <v>140083.97100938085</v>
      </c>
      <c r="H231" s="13">
        <v>0</v>
      </c>
      <c r="I231" s="13">
        <v>0</v>
      </c>
      <c r="J231" s="13">
        <f>H231+I231</f>
        <v>0</v>
      </c>
      <c r="K231" s="13">
        <f>H231*F231</f>
        <v>0</v>
      </c>
      <c r="L231" s="13">
        <f>I231*F231</f>
        <v>0</v>
      </c>
      <c r="M231" s="13">
        <f>J231*F231</f>
        <v>0</v>
      </c>
      <c r="N231" s="62">
        <f t="shared" ref="N231:N236" si="150">M231/G231</f>
        <v>0</v>
      </c>
    </row>
    <row r="232" spans="1:14" ht="24.75" hidden="1" customHeight="1" x14ac:dyDescent="0.2">
      <c r="A232" s="11" t="s">
        <v>427</v>
      </c>
      <c r="B232" s="11" t="s">
        <v>428</v>
      </c>
      <c r="C232" s="12" t="s">
        <v>28</v>
      </c>
      <c r="D232" s="13">
        <v>134</v>
      </c>
      <c r="E232" s="13">
        <f>[1]CPUs!I2085</f>
        <v>141.61326981252799</v>
      </c>
      <c r="F232" s="13">
        <v>175.07648546922834</v>
      </c>
      <c r="G232" s="13">
        <f>(F232*D232)</f>
        <v>23460.249052876599</v>
      </c>
      <c r="H232" s="13">
        <v>0</v>
      </c>
      <c r="I232" s="13">
        <v>0</v>
      </c>
      <c r="J232" s="13">
        <f>H232+I232</f>
        <v>0</v>
      </c>
      <c r="K232" s="13">
        <f>H232*F232</f>
        <v>0</v>
      </c>
      <c r="L232" s="13">
        <f>I232*F232</f>
        <v>0</v>
      </c>
      <c r="M232" s="13">
        <f>J232*F232</f>
        <v>0</v>
      </c>
      <c r="N232" s="62">
        <f t="shared" si="150"/>
        <v>0</v>
      </c>
    </row>
    <row r="233" spans="1:14" ht="24.75" hidden="1" customHeight="1" x14ac:dyDescent="0.2">
      <c r="A233" s="11" t="s">
        <v>429</v>
      </c>
      <c r="B233" s="11" t="s">
        <v>430</v>
      </c>
      <c r="C233" s="12" t="s">
        <v>28</v>
      </c>
      <c r="D233" s="13">
        <v>773</v>
      </c>
      <c r="E233" s="13">
        <f>[1]CPUs!I2098</f>
        <v>108.80750041424001</v>
      </c>
      <c r="F233" s="13">
        <v>134.51871276212492</v>
      </c>
      <c r="G233" s="13">
        <f t="shared" ref="G233:G235" si="151">D233*F233</f>
        <v>103982.96496512256</v>
      </c>
      <c r="H233" s="13">
        <v>0</v>
      </c>
      <c r="I233" s="13">
        <v>0</v>
      </c>
      <c r="J233" s="13">
        <f>H233+I233</f>
        <v>0</v>
      </c>
      <c r="K233" s="13">
        <f>H233*F233</f>
        <v>0</v>
      </c>
      <c r="L233" s="13">
        <f>I233*F233</f>
        <v>0</v>
      </c>
      <c r="M233" s="13">
        <f>J233*F233</f>
        <v>0</v>
      </c>
      <c r="N233" s="62">
        <f t="shared" si="150"/>
        <v>0</v>
      </c>
    </row>
    <row r="234" spans="1:14" ht="24.75" hidden="1" customHeight="1" x14ac:dyDescent="0.2">
      <c r="A234" s="11" t="s">
        <v>431</v>
      </c>
      <c r="B234" s="11" t="s">
        <v>432</v>
      </c>
      <c r="C234" s="12" t="s">
        <v>28</v>
      </c>
      <c r="D234" s="13">
        <v>25</v>
      </c>
      <c r="E234" s="13">
        <f>[1]CPUs!I2111</f>
        <v>277.88519616119999</v>
      </c>
      <c r="F234" s="13">
        <v>343.54946801409153</v>
      </c>
      <c r="G234" s="13">
        <f>(F234*D234)</f>
        <v>8588.7367003522886</v>
      </c>
      <c r="H234" s="13">
        <v>0</v>
      </c>
      <c r="I234" s="13">
        <v>0</v>
      </c>
      <c r="J234" s="13">
        <f>H234+I234</f>
        <v>0</v>
      </c>
      <c r="K234" s="13">
        <f>H234*F234</f>
        <v>0</v>
      </c>
      <c r="L234" s="13">
        <f>I234*F234</f>
        <v>0</v>
      </c>
      <c r="M234" s="13">
        <f>J234*F234</f>
        <v>0</v>
      </c>
      <c r="N234" s="62">
        <f t="shared" si="150"/>
        <v>0</v>
      </c>
    </row>
    <row r="235" spans="1:14" ht="24.75" hidden="1" customHeight="1" x14ac:dyDescent="0.2">
      <c r="A235" s="11" t="s">
        <v>433</v>
      </c>
      <c r="B235" s="11" t="s">
        <v>434</v>
      </c>
      <c r="C235" s="12" t="s">
        <v>28</v>
      </c>
      <c r="D235" s="13">
        <v>4</v>
      </c>
      <c r="E235" s="13">
        <f>[1]CPUs!I2126</f>
        <v>256.09326414399999</v>
      </c>
      <c r="F235" s="13">
        <v>316.60810246122719</v>
      </c>
      <c r="G235" s="13">
        <f t="shared" si="151"/>
        <v>1266.4324098449088</v>
      </c>
      <c r="H235" s="13">
        <v>0</v>
      </c>
      <c r="I235" s="13">
        <v>0</v>
      </c>
      <c r="J235" s="13">
        <f>H235+I235</f>
        <v>0</v>
      </c>
      <c r="K235" s="13">
        <f>H235*F235</f>
        <v>0</v>
      </c>
      <c r="L235" s="13">
        <f>I235*F235</f>
        <v>0</v>
      </c>
      <c r="M235" s="13">
        <f>J235*F235</f>
        <v>0</v>
      </c>
      <c r="N235" s="62">
        <f t="shared" si="150"/>
        <v>0</v>
      </c>
    </row>
    <row r="236" spans="1:14" ht="24.75" hidden="1" customHeight="1" x14ac:dyDescent="0.2">
      <c r="A236" s="16" t="s">
        <v>435</v>
      </c>
      <c r="B236" s="16" t="s">
        <v>436</v>
      </c>
      <c r="C236" s="16"/>
      <c r="D236" s="20"/>
      <c r="E236" s="19"/>
      <c r="F236" s="19"/>
      <c r="G236" s="20">
        <f t="shared" ref="G236" si="152">SUM(G237:G252)</f>
        <v>27622.953437600001</v>
      </c>
      <c r="H236" s="20"/>
      <c r="I236" s="19"/>
      <c r="J236" s="20"/>
      <c r="K236" s="20">
        <f t="shared" ref="K236:L236" si="153">SUM(K237:K252)</f>
        <v>0</v>
      </c>
      <c r="L236" s="20">
        <f t="shared" si="153"/>
        <v>0</v>
      </c>
      <c r="M236" s="20">
        <f>SUM(M237:M252)</f>
        <v>0</v>
      </c>
      <c r="N236" s="61">
        <f t="shared" si="150"/>
        <v>0</v>
      </c>
    </row>
    <row r="237" spans="1:14" ht="24.75" hidden="1" customHeight="1" x14ac:dyDescent="0.2">
      <c r="A237" s="11" t="s">
        <v>437</v>
      </c>
      <c r="B237" s="11" t="s">
        <v>438</v>
      </c>
      <c r="C237" s="12" t="s">
        <v>28</v>
      </c>
      <c r="D237" s="13">
        <v>1</v>
      </c>
      <c r="E237" s="13">
        <f>[1]CPUs!I2139</f>
        <v>125.08</v>
      </c>
      <c r="F237" s="13">
        <v>154.63</v>
      </c>
      <c r="G237" s="13">
        <f>D237*F237</f>
        <v>154.63</v>
      </c>
      <c r="H237" s="13">
        <v>0</v>
      </c>
      <c r="I237" s="13">
        <v>0</v>
      </c>
      <c r="J237" s="13">
        <f t="shared" ref="J237:J252" si="154">H237+I237</f>
        <v>0</v>
      </c>
      <c r="K237" s="13">
        <f t="shared" ref="K237:K252" si="155">H237*F237</f>
        <v>0</v>
      </c>
      <c r="L237" s="13">
        <f t="shared" ref="L237:L252" si="156">I237*F237</f>
        <v>0</v>
      </c>
      <c r="M237" s="13">
        <f t="shared" ref="M237:M252" si="157">J237*F237</f>
        <v>0</v>
      </c>
      <c r="N237" s="62">
        <f t="shared" ref="N237:N253" si="158">M237/G237</f>
        <v>0</v>
      </c>
    </row>
    <row r="238" spans="1:14" ht="24.75" hidden="1" customHeight="1" x14ac:dyDescent="0.2">
      <c r="A238" s="11" t="s">
        <v>439</v>
      </c>
      <c r="B238" s="11" t="s">
        <v>440</v>
      </c>
      <c r="C238" s="12" t="s">
        <v>28</v>
      </c>
      <c r="D238" s="13">
        <v>21</v>
      </c>
      <c r="E238" s="13">
        <f>[1]CPUs!I2148</f>
        <v>289.56800000000004</v>
      </c>
      <c r="F238" s="13">
        <v>357.99291840000006</v>
      </c>
      <c r="G238" s="13">
        <f t="shared" ref="G238:G252" si="159">D238*F238</f>
        <v>7517.8512864000013</v>
      </c>
      <c r="H238" s="13">
        <v>0</v>
      </c>
      <c r="I238" s="13">
        <v>0</v>
      </c>
      <c r="J238" s="13">
        <f t="shared" si="154"/>
        <v>0</v>
      </c>
      <c r="K238" s="13">
        <f t="shared" si="155"/>
        <v>0</v>
      </c>
      <c r="L238" s="13">
        <f t="shared" si="156"/>
        <v>0</v>
      </c>
      <c r="M238" s="13">
        <f t="shared" si="157"/>
        <v>0</v>
      </c>
      <c r="N238" s="62">
        <f t="shared" si="158"/>
        <v>0</v>
      </c>
    </row>
    <row r="239" spans="1:14" ht="24.75" hidden="1" customHeight="1" x14ac:dyDescent="0.2">
      <c r="A239" s="11" t="s">
        <v>441</v>
      </c>
      <c r="B239" s="11" t="s">
        <v>442</v>
      </c>
      <c r="C239" s="12" t="s">
        <v>28</v>
      </c>
      <c r="D239" s="13">
        <v>3</v>
      </c>
      <c r="E239" s="13">
        <f>[1]CPUs!I2157</f>
        <v>490.65</v>
      </c>
      <c r="F239" s="13">
        <v>606.59</v>
      </c>
      <c r="G239" s="13">
        <f t="shared" si="159"/>
        <v>1819.77</v>
      </c>
      <c r="H239" s="13">
        <v>0</v>
      </c>
      <c r="I239" s="13">
        <v>0</v>
      </c>
      <c r="J239" s="13">
        <f t="shared" si="154"/>
        <v>0</v>
      </c>
      <c r="K239" s="13">
        <f t="shared" si="155"/>
        <v>0</v>
      </c>
      <c r="L239" s="13">
        <f t="shared" si="156"/>
        <v>0</v>
      </c>
      <c r="M239" s="13">
        <f t="shared" si="157"/>
        <v>0</v>
      </c>
      <c r="N239" s="62">
        <f t="shared" si="158"/>
        <v>0</v>
      </c>
    </row>
    <row r="240" spans="1:14" ht="24.75" hidden="1" customHeight="1" x14ac:dyDescent="0.2">
      <c r="A240" s="11" t="s">
        <v>443</v>
      </c>
      <c r="B240" s="11" t="s">
        <v>444</v>
      </c>
      <c r="C240" s="12" t="s">
        <v>28</v>
      </c>
      <c r="D240" s="13">
        <v>2</v>
      </c>
      <c r="E240" s="13">
        <f>[1]CPUs!I2166</f>
        <v>514.78</v>
      </c>
      <c r="F240" s="13">
        <v>636.41999999999996</v>
      </c>
      <c r="G240" s="13">
        <f t="shared" si="159"/>
        <v>1272.8399999999999</v>
      </c>
      <c r="H240" s="13">
        <v>0</v>
      </c>
      <c r="I240" s="13">
        <v>0</v>
      </c>
      <c r="J240" s="13">
        <f t="shared" si="154"/>
        <v>0</v>
      </c>
      <c r="K240" s="13">
        <f t="shared" si="155"/>
        <v>0</v>
      </c>
      <c r="L240" s="13">
        <f t="shared" si="156"/>
        <v>0</v>
      </c>
      <c r="M240" s="13">
        <f t="shared" si="157"/>
        <v>0</v>
      </c>
      <c r="N240" s="62">
        <f t="shared" si="158"/>
        <v>0</v>
      </c>
    </row>
    <row r="241" spans="1:14" ht="24.75" hidden="1" customHeight="1" x14ac:dyDescent="0.2">
      <c r="A241" s="11" t="s">
        <v>445</v>
      </c>
      <c r="B241" s="11" t="s">
        <v>446</v>
      </c>
      <c r="C241" s="12" t="s">
        <v>28</v>
      </c>
      <c r="D241" s="13">
        <v>6</v>
      </c>
      <c r="E241" s="13">
        <f>[1]CPUs!I2175</f>
        <v>481.60399999999998</v>
      </c>
      <c r="F241" s="13">
        <v>595.40702520000002</v>
      </c>
      <c r="G241" s="13">
        <f t="shared" si="159"/>
        <v>3572.4421511999999</v>
      </c>
      <c r="H241" s="13">
        <v>0</v>
      </c>
      <c r="I241" s="13">
        <v>0</v>
      </c>
      <c r="J241" s="13">
        <f t="shared" si="154"/>
        <v>0</v>
      </c>
      <c r="K241" s="13">
        <f t="shared" si="155"/>
        <v>0</v>
      </c>
      <c r="L241" s="13">
        <f t="shared" si="156"/>
        <v>0</v>
      </c>
      <c r="M241" s="13">
        <f t="shared" si="157"/>
        <v>0</v>
      </c>
      <c r="N241" s="62">
        <f t="shared" si="158"/>
        <v>0</v>
      </c>
    </row>
    <row r="242" spans="1:14" ht="24.75" hidden="1" customHeight="1" x14ac:dyDescent="0.2">
      <c r="A242" s="11" t="s">
        <v>447</v>
      </c>
      <c r="B242" s="11" t="s">
        <v>448</v>
      </c>
      <c r="C242" s="12" t="s">
        <v>28</v>
      </c>
      <c r="D242" s="13">
        <v>1</v>
      </c>
      <c r="E242" s="13">
        <f>[1]CPUs!I2184</f>
        <v>62.6</v>
      </c>
      <c r="F242" s="13">
        <v>77.39</v>
      </c>
      <c r="G242" s="13">
        <f t="shared" si="159"/>
        <v>77.39</v>
      </c>
      <c r="H242" s="13">
        <v>0</v>
      </c>
      <c r="I242" s="13">
        <v>0</v>
      </c>
      <c r="J242" s="13">
        <f t="shared" si="154"/>
        <v>0</v>
      </c>
      <c r="K242" s="13">
        <f t="shared" si="155"/>
        <v>0</v>
      </c>
      <c r="L242" s="13">
        <f t="shared" si="156"/>
        <v>0</v>
      </c>
      <c r="M242" s="13">
        <f t="shared" si="157"/>
        <v>0</v>
      </c>
      <c r="N242" s="62">
        <f t="shared" si="158"/>
        <v>0</v>
      </c>
    </row>
    <row r="243" spans="1:14" ht="24.75" hidden="1" customHeight="1" x14ac:dyDescent="0.2">
      <c r="A243" s="11" t="s">
        <v>449</v>
      </c>
      <c r="B243" s="11" t="s">
        <v>450</v>
      </c>
      <c r="C243" s="12" t="s">
        <v>28</v>
      </c>
      <c r="D243" s="13">
        <v>5</v>
      </c>
      <c r="E243" s="13">
        <f>[1]CPUs!I2193</f>
        <v>92.96</v>
      </c>
      <c r="F243" s="13">
        <v>114.92</v>
      </c>
      <c r="G243" s="13">
        <f t="shared" si="159"/>
        <v>574.6</v>
      </c>
      <c r="H243" s="13">
        <v>0</v>
      </c>
      <c r="I243" s="13">
        <v>0</v>
      </c>
      <c r="J243" s="13">
        <f t="shared" si="154"/>
        <v>0</v>
      </c>
      <c r="K243" s="13">
        <f t="shared" si="155"/>
        <v>0</v>
      </c>
      <c r="L243" s="13">
        <f t="shared" si="156"/>
        <v>0</v>
      </c>
      <c r="M243" s="13">
        <f t="shared" si="157"/>
        <v>0</v>
      </c>
      <c r="N243" s="62">
        <f t="shared" si="158"/>
        <v>0</v>
      </c>
    </row>
    <row r="244" spans="1:14" ht="24.75" hidden="1" customHeight="1" x14ac:dyDescent="0.2">
      <c r="A244" s="11" t="s">
        <v>451</v>
      </c>
      <c r="B244" s="11" t="s">
        <v>452</v>
      </c>
      <c r="C244" s="12" t="s">
        <v>28</v>
      </c>
      <c r="D244" s="13">
        <v>2</v>
      </c>
      <c r="E244" s="13">
        <f>[1]CPUs!I2202</f>
        <v>893.41</v>
      </c>
      <c r="F244" s="13">
        <v>1033.5899999999999</v>
      </c>
      <c r="G244" s="13">
        <f t="shared" si="159"/>
        <v>2067.1799999999998</v>
      </c>
      <c r="H244" s="13">
        <v>0</v>
      </c>
      <c r="I244" s="13">
        <v>0</v>
      </c>
      <c r="J244" s="13">
        <f t="shared" si="154"/>
        <v>0</v>
      </c>
      <c r="K244" s="13">
        <f t="shared" si="155"/>
        <v>0</v>
      </c>
      <c r="L244" s="13">
        <f t="shared" si="156"/>
        <v>0</v>
      </c>
      <c r="M244" s="13">
        <f t="shared" si="157"/>
        <v>0</v>
      </c>
      <c r="N244" s="62">
        <f t="shared" si="158"/>
        <v>0</v>
      </c>
    </row>
    <row r="245" spans="1:14" ht="24.75" hidden="1" customHeight="1" x14ac:dyDescent="0.2">
      <c r="A245" s="11" t="s">
        <v>453</v>
      </c>
      <c r="B245" s="11" t="s">
        <v>454</v>
      </c>
      <c r="C245" s="12" t="s">
        <v>28</v>
      </c>
      <c r="D245" s="13">
        <v>1</v>
      </c>
      <c r="E245" s="13">
        <f>[1]CPUs!I2208</f>
        <v>763.36</v>
      </c>
      <c r="F245" s="13">
        <v>883.13</v>
      </c>
      <c r="G245" s="13">
        <f t="shared" si="159"/>
        <v>883.13</v>
      </c>
      <c r="H245" s="13">
        <v>0</v>
      </c>
      <c r="I245" s="13">
        <v>0</v>
      </c>
      <c r="J245" s="13">
        <f t="shared" si="154"/>
        <v>0</v>
      </c>
      <c r="K245" s="13">
        <f t="shared" si="155"/>
        <v>0</v>
      </c>
      <c r="L245" s="13">
        <f t="shared" si="156"/>
        <v>0</v>
      </c>
      <c r="M245" s="13">
        <f t="shared" si="157"/>
        <v>0</v>
      </c>
      <c r="N245" s="62">
        <f t="shared" si="158"/>
        <v>0</v>
      </c>
    </row>
    <row r="246" spans="1:14" ht="24.75" hidden="1" customHeight="1" x14ac:dyDescent="0.2">
      <c r="A246" s="11" t="s">
        <v>455</v>
      </c>
      <c r="B246" s="11" t="s">
        <v>456</v>
      </c>
      <c r="C246" s="12" t="s">
        <v>28</v>
      </c>
      <c r="D246" s="13">
        <v>1</v>
      </c>
      <c r="E246" s="13">
        <f>[1]CPUs!I2214</f>
        <v>581.22</v>
      </c>
      <c r="F246" s="13">
        <v>672.41</v>
      </c>
      <c r="G246" s="13">
        <f t="shared" si="159"/>
        <v>672.41</v>
      </c>
      <c r="H246" s="13">
        <v>0</v>
      </c>
      <c r="I246" s="13">
        <v>0</v>
      </c>
      <c r="J246" s="13">
        <f t="shared" si="154"/>
        <v>0</v>
      </c>
      <c r="K246" s="13">
        <f t="shared" si="155"/>
        <v>0</v>
      </c>
      <c r="L246" s="13">
        <f t="shared" si="156"/>
        <v>0</v>
      </c>
      <c r="M246" s="13">
        <f t="shared" si="157"/>
        <v>0</v>
      </c>
      <c r="N246" s="62">
        <f t="shared" si="158"/>
        <v>0</v>
      </c>
    </row>
    <row r="247" spans="1:14" ht="24.75" hidden="1" customHeight="1" x14ac:dyDescent="0.2">
      <c r="A247" s="11" t="s">
        <v>457</v>
      </c>
      <c r="B247" s="11" t="s">
        <v>458</v>
      </c>
      <c r="C247" s="12" t="s">
        <v>28</v>
      </c>
      <c r="D247" s="13">
        <v>7</v>
      </c>
      <c r="E247" s="13">
        <f>[1]CPUs!I2220</f>
        <v>19.36</v>
      </c>
      <c r="F247" s="13">
        <v>22.4</v>
      </c>
      <c r="G247" s="13">
        <f t="shared" si="159"/>
        <v>156.79999999999998</v>
      </c>
      <c r="H247" s="13">
        <v>0</v>
      </c>
      <c r="I247" s="13">
        <v>0</v>
      </c>
      <c r="J247" s="13">
        <f t="shared" si="154"/>
        <v>0</v>
      </c>
      <c r="K247" s="13">
        <f t="shared" si="155"/>
        <v>0</v>
      </c>
      <c r="L247" s="13">
        <f t="shared" si="156"/>
        <v>0</v>
      </c>
      <c r="M247" s="13">
        <f t="shared" si="157"/>
        <v>0</v>
      </c>
      <c r="N247" s="62">
        <f t="shared" si="158"/>
        <v>0</v>
      </c>
    </row>
    <row r="248" spans="1:14" ht="24.75" hidden="1" customHeight="1" x14ac:dyDescent="0.2">
      <c r="A248" s="11" t="s">
        <v>459</v>
      </c>
      <c r="B248" s="11" t="s">
        <v>460</v>
      </c>
      <c r="C248" s="12" t="s">
        <v>28</v>
      </c>
      <c r="D248" s="13">
        <v>25</v>
      </c>
      <c r="E248" s="13">
        <f>[1]CPUs!I2226</f>
        <v>283.33</v>
      </c>
      <c r="F248" s="13">
        <v>327.78</v>
      </c>
      <c r="G248" s="13">
        <f t="shared" si="159"/>
        <v>8194.5</v>
      </c>
      <c r="H248" s="13">
        <v>0</v>
      </c>
      <c r="I248" s="13">
        <v>0</v>
      </c>
      <c r="J248" s="13">
        <f t="shared" si="154"/>
        <v>0</v>
      </c>
      <c r="K248" s="13">
        <f t="shared" si="155"/>
        <v>0</v>
      </c>
      <c r="L248" s="13">
        <f t="shared" si="156"/>
        <v>0</v>
      </c>
      <c r="M248" s="13">
        <f t="shared" si="157"/>
        <v>0</v>
      </c>
      <c r="N248" s="62">
        <f t="shared" si="158"/>
        <v>0</v>
      </c>
    </row>
    <row r="249" spans="1:14" ht="24.75" hidden="1" customHeight="1" x14ac:dyDescent="0.2">
      <c r="A249" s="11" t="s">
        <v>461</v>
      </c>
      <c r="B249" s="11" t="s">
        <v>462</v>
      </c>
      <c r="C249" s="12" t="s">
        <v>28</v>
      </c>
      <c r="D249" s="13">
        <v>3</v>
      </c>
      <c r="E249" s="13">
        <f>[1]CPUs!I2233</f>
        <v>29.39</v>
      </c>
      <c r="F249" s="13">
        <v>36.33</v>
      </c>
      <c r="G249" s="13">
        <f t="shared" si="159"/>
        <v>108.99</v>
      </c>
      <c r="H249" s="13">
        <v>0</v>
      </c>
      <c r="I249" s="13">
        <v>0</v>
      </c>
      <c r="J249" s="13">
        <f t="shared" si="154"/>
        <v>0</v>
      </c>
      <c r="K249" s="13">
        <f t="shared" si="155"/>
        <v>0</v>
      </c>
      <c r="L249" s="13">
        <f t="shared" si="156"/>
        <v>0</v>
      </c>
      <c r="M249" s="13">
        <f t="shared" si="157"/>
        <v>0</v>
      </c>
      <c r="N249" s="62">
        <f t="shared" si="158"/>
        <v>0</v>
      </c>
    </row>
    <row r="250" spans="1:14" ht="24.75" hidden="1" customHeight="1" x14ac:dyDescent="0.2">
      <c r="A250" s="11" t="s">
        <v>463</v>
      </c>
      <c r="B250" s="11" t="s">
        <v>464</v>
      </c>
      <c r="C250" s="12" t="s">
        <v>28</v>
      </c>
      <c r="D250" s="13">
        <v>7</v>
      </c>
      <c r="E250" s="13">
        <f>[1]CPUs!I2241</f>
        <v>5.27</v>
      </c>
      <c r="F250" s="13">
        <v>6.51</v>
      </c>
      <c r="G250" s="13">
        <f t="shared" si="159"/>
        <v>45.57</v>
      </c>
      <c r="H250" s="13">
        <v>0</v>
      </c>
      <c r="I250" s="13">
        <v>0</v>
      </c>
      <c r="J250" s="13">
        <f t="shared" si="154"/>
        <v>0</v>
      </c>
      <c r="K250" s="13">
        <f t="shared" si="155"/>
        <v>0</v>
      </c>
      <c r="L250" s="13">
        <f t="shared" si="156"/>
        <v>0</v>
      </c>
      <c r="M250" s="13">
        <f t="shared" si="157"/>
        <v>0</v>
      </c>
      <c r="N250" s="62">
        <f t="shared" si="158"/>
        <v>0</v>
      </c>
    </row>
    <row r="251" spans="1:14" ht="24.75" hidden="1" customHeight="1" x14ac:dyDescent="0.2">
      <c r="A251" s="11" t="s">
        <v>465</v>
      </c>
      <c r="B251" s="11" t="s">
        <v>466</v>
      </c>
      <c r="C251" s="12" t="s">
        <v>28</v>
      </c>
      <c r="D251" s="13">
        <v>1</v>
      </c>
      <c r="E251" s="13">
        <f>[1]CPUs!I2249</f>
        <v>12.22</v>
      </c>
      <c r="F251" s="13">
        <v>15.1</v>
      </c>
      <c r="G251" s="13">
        <f t="shared" si="159"/>
        <v>15.1</v>
      </c>
      <c r="H251" s="13">
        <v>0</v>
      </c>
      <c r="I251" s="13">
        <v>0</v>
      </c>
      <c r="J251" s="13">
        <f t="shared" si="154"/>
        <v>0</v>
      </c>
      <c r="K251" s="13">
        <f t="shared" si="155"/>
        <v>0</v>
      </c>
      <c r="L251" s="13">
        <f t="shared" si="156"/>
        <v>0</v>
      </c>
      <c r="M251" s="13">
        <f t="shared" si="157"/>
        <v>0</v>
      </c>
      <c r="N251" s="62">
        <f t="shared" si="158"/>
        <v>0</v>
      </c>
    </row>
    <row r="252" spans="1:14" ht="24.75" hidden="1" customHeight="1" x14ac:dyDescent="0.2">
      <c r="A252" s="11" t="s">
        <v>467</v>
      </c>
      <c r="B252" s="11" t="s">
        <v>468</v>
      </c>
      <c r="C252" s="12" t="s">
        <v>28</v>
      </c>
      <c r="D252" s="13">
        <v>25</v>
      </c>
      <c r="E252" s="13">
        <f>[1]CPUs!I2257</f>
        <v>15.85</v>
      </c>
      <c r="F252" s="13">
        <v>19.59</v>
      </c>
      <c r="G252" s="13">
        <f t="shared" si="159"/>
        <v>489.75</v>
      </c>
      <c r="H252" s="13">
        <v>0</v>
      </c>
      <c r="I252" s="13">
        <v>0</v>
      </c>
      <c r="J252" s="13">
        <f t="shared" si="154"/>
        <v>0</v>
      </c>
      <c r="K252" s="13">
        <f t="shared" si="155"/>
        <v>0</v>
      </c>
      <c r="L252" s="13">
        <f t="shared" si="156"/>
        <v>0</v>
      </c>
      <c r="M252" s="13">
        <f t="shared" si="157"/>
        <v>0</v>
      </c>
      <c r="N252" s="62">
        <f t="shared" si="158"/>
        <v>0</v>
      </c>
    </row>
    <row r="253" spans="1:14" ht="24.75" hidden="1" customHeight="1" x14ac:dyDescent="0.2">
      <c r="A253" s="16" t="s">
        <v>469</v>
      </c>
      <c r="B253" s="16" t="s">
        <v>470</v>
      </c>
      <c r="C253" s="16"/>
      <c r="D253" s="20"/>
      <c r="E253" s="19"/>
      <c r="F253" s="19"/>
      <c r="G253" s="20">
        <f t="shared" ref="G253" si="160">SUM(G254:G282)</f>
        <v>33394.58</v>
      </c>
      <c r="H253" s="20"/>
      <c r="I253" s="19"/>
      <c r="J253" s="20"/>
      <c r="K253" s="20">
        <f t="shared" ref="K253:L253" si="161">SUM(K254:K282)</f>
        <v>0</v>
      </c>
      <c r="L253" s="20">
        <f t="shared" si="161"/>
        <v>0</v>
      </c>
      <c r="M253" s="20">
        <f>SUM(M254:M282)</f>
        <v>0</v>
      </c>
      <c r="N253" s="61">
        <f t="shared" si="158"/>
        <v>0</v>
      </c>
    </row>
    <row r="254" spans="1:14" ht="24.75" hidden="1" customHeight="1" x14ac:dyDescent="0.2">
      <c r="A254" s="11" t="s">
        <v>471</v>
      </c>
      <c r="B254" s="11" t="s">
        <v>472</v>
      </c>
      <c r="C254" s="12" t="s">
        <v>28</v>
      </c>
      <c r="D254" s="13">
        <v>1</v>
      </c>
      <c r="E254" s="13">
        <f>[1]CPUs!I2265</f>
        <v>394.86</v>
      </c>
      <c r="F254" s="13">
        <v>488.16</v>
      </c>
      <c r="G254" s="13">
        <f>D254*F254</f>
        <v>488.16</v>
      </c>
      <c r="H254" s="13">
        <v>0</v>
      </c>
      <c r="I254" s="13">
        <v>0</v>
      </c>
      <c r="J254" s="13">
        <f t="shared" ref="J254:J282" si="162">H254+I254</f>
        <v>0</v>
      </c>
      <c r="K254" s="13">
        <f t="shared" ref="K254:K282" si="163">H254*F254</f>
        <v>0</v>
      </c>
      <c r="L254" s="13">
        <f t="shared" ref="L254:L282" si="164">I254*F254</f>
        <v>0</v>
      </c>
      <c r="M254" s="13">
        <f t="shared" ref="M254:M282" si="165">J254*F254</f>
        <v>0</v>
      </c>
      <c r="N254" s="62">
        <f t="shared" ref="N254:N283" si="166">M254/G254</f>
        <v>0</v>
      </c>
    </row>
    <row r="255" spans="1:14" ht="24.75" hidden="1" customHeight="1" x14ac:dyDescent="0.2">
      <c r="A255" s="11" t="s">
        <v>473</v>
      </c>
      <c r="B255" s="11" t="s">
        <v>474</v>
      </c>
      <c r="C255" s="12" t="s">
        <v>28</v>
      </c>
      <c r="D255" s="13">
        <v>1</v>
      </c>
      <c r="E255" s="13">
        <f>[1]CPUs!I2275</f>
        <v>345.39</v>
      </c>
      <c r="F255" s="13">
        <v>399.58</v>
      </c>
      <c r="G255" s="13">
        <f t="shared" ref="G255:G282" si="167">D255*F255</f>
        <v>399.58</v>
      </c>
      <c r="H255" s="13">
        <v>0</v>
      </c>
      <c r="I255" s="13">
        <v>0</v>
      </c>
      <c r="J255" s="13">
        <f t="shared" si="162"/>
        <v>0</v>
      </c>
      <c r="K255" s="13">
        <f t="shared" si="163"/>
        <v>0</v>
      </c>
      <c r="L255" s="13">
        <f t="shared" si="164"/>
        <v>0</v>
      </c>
      <c r="M255" s="13">
        <f t="shared" si="165"/>
        <v>0</v>
      </c>
      <c r="N255" s="62">
        <f t="shared" si="166"/>
        <v>0</v>
      </c>
    </row>
    <row r="256" spans="1:14" ht="24.75" hidden="1" customHeight="1" x14ac:dyDescent="0.2">
      <c r="A256" s="11" t="s">
        <v>475</v>
      </c>
      <c r="B256" s="11" t="s">
        <v>476</v>
      </c>
      <c r="C256" s="12" t="s">
        <v>28</v>
      </c>
      <c r="D256" s="13">
        <v>9</v>
      </c>
      <c r="E256" s="13">
        <f>[1]CPUs!I2282</f>
        <v>71.59</v>
      </c>
      <c r="F256" s="13">
        <v>88.5</v>
      </c>
      <c r="G256" s="13">
        <f t="shared" si="167"/>
        <v>796.5</v>
      </c>
      <c r="H256" s="13">
        <v>0</v>
      </c>
      <c r="I256" s="13">
        <v>0</v>
      </c>
      <c r="J256" s="13">
        <f t="shared" si="162"/>
        <v>0</v>
      </c>
      <c r="K256" s="13">
        <f t="shared" si="163"/>
        <v>0</v>
      </c>
      <c r="L256" s="13">
        <f t="shared" si="164"/>
        <v>0</v>
      </c>
      <c r="M256" s="13">
        <f t="shared" si="165"/>
        <v>0</v>
      </c>
      <c r="N256" s="62">
        <f t="shared" si="166"/>
        <v>0</v>
      </c>
    </row>
    <row r="257" spans="1:14" ht="24.75" hidden="1" customHeight="1" x14ac:dyDescent="0.2">
      <c r="A257" s="11" t="s">
        <v>477</v>
      </c>
      <c r="B257" s="11" t="s">
        <v>478</v>
      </c>
      <c r="C257" s="12" t="s">
        <v>28</v>
      </c>
      <c r="D257" s="13">
        <v>12</v>
      </c>
      <c r="E257" s="13">
        <f>[1]CPUs!I2291</f>
        <v>71.59</v>
      </c>
      <c r="F257" s="13">
        <v>88.5</v>
      </c>
      <c r="G257" s="13">
        <f t="shared" si="167"/>
        <v>1062</v>
      </c>
      <c r="H257" s="13">
        <v>0</v>
      </c>
      <c r="I257" s="13">
        <v>0</v>
      </c>
      <c r="J257" s="13">
        <f t="shared" si="162"/>
        <v>0</v>
      </c>
      <c r="K257" s="13">
        <f t="shared" si="163"/>
        <v>0</v>
      </c>
      <c r="L257" s="13">
        <f t="shared" si="164"/>
        <v>0</v>
      </c>
      <c r="M257" s="13">
        <f t="shared" si="165"/>
        <v>0</v>
      </c>
      <c r="N257" s="62">
        <f t="shared" si="166"/>
        <v>0</v>
      </c>
    </row>
    <row r="258" spans="1:14" ht="24.75" hidden="1" customHeight="1" x14ac:dyDescent="0.2">
      <c r="A258" s="11" t="s">
        <v>479</v>
      </c>
      <c r="B258" s="11" t="s">
        <v>480</v>
      </c>
      <c r="C258" s="12" t="s">
        <v>28</v>
      </c>
      <c r="D258" s="13">
        <v>2</v>
      </c>
      <c r="E258" s="13">
        <f>[1]CPUs!I2300</f>
        <v>1115.04</v>
      </c>
      <c r="F258" s="13">
        <v>1289.99</v>
      </c>
      <c r="G258" s="13">
        <f t="shared" si="167"/>
        <v>2579.98</v>
      </c>
      <c r="H258" s="13">
        <v>0</v>
      </c>
      <c r="I258" s="13">
        <v>0</v>
      </c>
      <c r="J258" s="13">
        <f t="shared" si="162"/>
        <v>0</v>
      </c>
      <c r="K258" s="13">
        <f t="shared" si="163"/>
        <v>0</v>
      </c>
      <c r="L258" s="13">
        <f t="shared" si="164"/>
        <v>0</v>
      </c>
      <c r="M258" s="13">
        <f t="shared" si="165"/>
        <v>0</v>
      </c>
      <c r="N258" s="62">
        <f t="shared" si="166"/>
        <v>0</v>
      </c>
    </row>
    <row r="259" spans="1:14" ht="24.75" hidden="1" customHeight="1" x14ac:dyDescent="0.2">
      <c r="A259" s="11" t="s">
        <v>481</v>
      </c>
      <c r="B259" s="11" t="s">
        <v>482</v>
      </c>
      <c r="C259" s="12" t="s">
        <v>28</v>
      </c>
      <c r="D259" s="13">
        <v>7</v>
      </c>
      <c r="E259" s="13">
        <f>[1]CPUs!I2307</f>
        <v>75.349999999999994</v>
      </c>
      <c r="F259" s="13">
        <v>93.15</v>
      </c>
      <c r="G259" s="13">
        <f t="shared" si="167"/>
        <v>652.05000000000007</v>
      </c>
      <c r="H259" s="13">
        <v>0</v>
      </c>
      <c r="I259" s="13">
        <v>0</v>
      </c>
      <c r="J259" s="13">
        <f t="shared" si="162"/>
        <v>0</v>
      </c>
      <c r="K259" s="13">
        <f t="shared" si="163"/>
        <v>0</v>
      </c>
      <c r="L259" s="13">
        <f t="shared" si="164"/>
        <v>0</v>
      </c>
      <c r="M259" s="13">
        <f t="shared" si="165"/>
        <v>0</v>
      </c>
      <c r="N259" s="62">
        <f t="shared" si="166"/>
        <v>0</v>
      </c>
    </row>
    <row r="260" spans="1:14" ht="24.75" hidden="1" customHeight="1" x14ac:dyDescent="0.2">
      <c r="A260" s="11" t="s">
        <v>483</v>
      </c>
      <c r="B260" s="11" t="s">
        <v>484</v>
      </c>
      <c r="C260" s="12" t="s">
        <v>28</v>
      </c>
      <c r="D260" s="13">
        <v>3</v>
      </c>
      <c r="E260" s="13">
        <f>[1]CPUs!I2316</f>
        <v>81.02</v>
      </c>
      <c r="F260" s="13">
        <v>100.16</v>
      </c>
      <c r="G260" s="13">
        <f t="shared" si="167"/>
        <v>300.48</v>
      </c>
      <c r="H260" s="13">
        <v>0</v>
      </c>
      <c r="I260" s="13">
        <v>0</v>
      </c>
      <c r="J260" s="13">
        <f t="shared" si="162"/>
        <v>0</v>
      </c>
      <c r="K260" s="13">
        <f t="shared" si="163"/>
        <v>0</v>
      </c>
      <c r="L260" s="13">
        <f t="shared" si="164"/>
        <v>0</v>
      </c>
      <c r="M260" s="13">
        <f t="shared" si="165"/>
        <v>0</v>
      </c>
      <c r="N260" s="62">
        <f t="shared" si="166"/>
        <v>0</v>
      </c>
    </row>
    <row r="261" spans="1:14" ht="24.75" hidden="1" customHeight="1" x14ac:dyDescent="0.2">
      <c r="A261" s="11" t="s">
        <v>485</v>
      </c>
      <c r="B261" s="11" t="s">
        <v>486</v>
      </c>
      <c r="C261" s="12" t="s">
        <v>28</v>
      </c>
      <c r="D261" s="13">
        <v>10</v>
      </c>
      <c r="E261" s="13">
        <f>[1]CPUs!I2325</f>
        <v>88.46</v>
      </c>
      <c r="F261" s="13">
        <v>109.36</v>
      </c>
      <c r="G261" s="13">
        <f t="shared" si="167"/>
        <v>1093.5999999999999</v>
      </c>
      <c r="H261" s="13">
        <v>0</v>
      </c>
      <c r="I261" s="13">
        <v>0</v>
      </c>
      <c r="J261" s="13">
        <f t="shared" si="162"/>
        <v>0</v>
      </c>
      <c r="K261" s="13">
        <f t="shared" si="163"/>
        <v>0</v>
      </c>
      <c r="L261" s="13">
        <f t="shared" si="164"/>
        <v>0</v>
      </c>
      <c r="M261" s="13">
        <f t="shared" si="165"/>
        <v>0</v>
      </c>
      <c r="N261" s="62">
        <f t="shared" si="166"/>
        <v>0</v>
      </c>
    </row>
    <row r="262" spans="1:14" ht="24.75" hidden="1" customHeight="1" x14ac:dyDescent="0.2">
      <c r="A262" s="11" t="s">
        <v>487</v>
      </c>
      <c r="B262" s="11" t="s">
        <v>488</v>
      </c>
      <c r="C262" s="12" t="s">
        <v>28</v>
      </c>
      <c r="D262" s="13">
        <v>1</v>
      </c>
      <c r="E262" s="13">
        <f>[1]CPUs!I2334</f>
        <v>66.66</v>
      </c>
      <c r="F262" s="13">
        <v>77.12</v>
      </c>
      <c r="G262" s="13">
        <f t="shared" si="167"/>
        <v>77.12</v>
      </c>
      <c r="H262" s="13">
        <v>0</v>
      </c>
      <c r="I262" s="13">
        <v>0</v>
      </c>
      <c r="J262" s="13">
        <f t="shared" si="162"/>
        <v>0</v>
      </c>
      <c r="K262" s="13">
        <f t="shared" si="163"/>
        <v>0</v>
      </c>
      <c r="L262" s="13">
        <f t="shared" si="164"/>
        <v>0</v>
      </c>
      <c r="M262" s="13">
        <f t="shared" si="165"/>
        <v>0</v>
      </c>
      <c r="N262" s="62">
        <f t="shared" si="166"/>
        <v>0</v>
      </c>
    </row>
    <row r="263" spans="1:14" ht="24.75" hidden="1" customHeight="1" x14ac:dyDescent="0.2">
      <c r="A263" s="11" t="s">
        <v>489</v>
      </c>
      <c r="B263" s="11" t="s">
        <v>490</v>
      </c>
      <c r="C263" s="12" t="s">
        <v>28</v>
      </c>
      <c r="D263" s="13">
        <v>3</v>
      </c>
      <c r="E263" s="13">
        <f>[1]CPUs!I2340</f>
        <v>97.34</v>
      </c>
      <c r="F263" s="13">
        <v>112.61</v>
      </c>
      <c r="G263" s="13">
        <f t="shared" si="167"/>
        <v>337.83</v>
      </c>
      <c r="H263" s="13">
        <v>0</v>
      </c>
      <c r="I263" s="13">
        <v>0</v>
      </c>
      <c r="J263" s="13">
        <f t="shared" si="162"/>
        <v>0</v>
      </c>
      <c r="K263" s="13">
        <f t="shared" si="163"/>
        <v>0</v>
      </c>
      <c r="L263" s="13">
        <f t="shared" si="164"/>
        <v>0</v>
      </c>
      <c r="M263" s="13">
        <f t="shared" si="165"/>
        <v>0</v>
      </c>
      <c r="N263" s="62">
        <f t="shared" si="166"/>
        <v>0</v>
      </c>
    </row>
    <row r="264" spans="1:14" ht="24.75" hidden="1" customHeight="1" x14ac:dyDescent="0.2">
      <c r="A264" s="11" t="s">
        <v>491</v>
      </c>
      <c r="B264" s="11" t="s">
        <v>492</v>
      </c>
      <c r="C264" s="12" t="s">
        <v>28</v>
      </c>
      <c r="D264" s="13">
        <v>4</v>
      </c>
      <c r="E264" s="13">
        <f>[1]CPUs!I2346</f>
        <v>3140.8240000000005</v>
      </c>
      <c r="F264" s="13">
        <v>3633.62</v>
      </c>
      <c r="G264" s="13">
        <f t="shared" si="167"/>
        <v>14534.48</v>
      </c>
      <c r="H264" s="13">
        <v>0</v>
      </c>
      <c r="I264" s="13">
        <v>0</v>
      </c>
      <c r="J264" s="13">
        <f t="shared" si="162"/>
        <v>0</v>
      </c>
      <c r="K264" s="13">
        <f t="shared" si="163"/>
        <v>0</v>
      </c>
      <c r="L264" s="13">
        <f t="shared" si="164"/>
        <v>0</v>
      </c>
      <c r="M264" s="13">
        <f t="shared" si="165"/>
        <v>0</v>
      </c>
      <c r="N264" s="62">
        <f t="shared" si="166"/>
        <v>0</v>
      </c>
    </row>
    <row r="265" spans="1:14" ht="24.75" hidden="1" customHeight="1" x14ac:dyDescent="0.2">
      <c r="A265" s="11" t="s">
        <v>493</v>
      </c>
      <c r="B265" s="11" t="s">
        <v>494</v>
      </c>
      <c r="C265" s="12" t="s">
        <v>28</v>
      </c>
      <c r="D265" s="13">
        <v>13</v>
      </c>
      <c r="E265" s="13">
        <f>[1]CPUs!I2353</f>
        <v>53.53</v>
      </c>
      <c r="F265" s="13">
        <v>66.17</v>
      </c>
      <c r="G265" s="13">
        <f t="shared" si="167"/>
        <v>860.21</v>
      </c>
      <c r="H265" s="13">
        <v>0</v>
      </c>
      <c r="I265" s="13">
        <v>0</v>
      </c>
      <c r="J265" s="13">
        <f t="shared" si="162"/>
        <v>0</v>
      </c>
      <c r="K265" s="13">
        <f t="shared" si="163"/>
        <v>0</v>
      </c>
      <c r="L265" s="13">
        <f t="shared" si="164"/>
        <v>0</v>
      </c>
      <c r="M265" s="13">
        <f t="shared" si="165"/>
        <v>0</v>
      </c>
      <c r="N265" s="62">
        <f t="shared" si="166"/>
        <v>0</v>
      </c>
    </row>
    <row r="266" spans="1:14" ht="24.75" hidden="1" customHeight="1" x14ac:dyDescent="0.2">
      <c r="A266" s="11" t="s">
        <v>495</v>
      </c>
      <c r="B266" s="11" t="s">
        <v>496</v>
      </c>
      <c r="C266" s="12" t="s">
        <v>28</v>
      </c>
      <c r="D266" s="13">
        <v>2</v>
      </c>
      <c r="E266" s="13">
        <f>[1]CPUs!I2362</f>
        <v>54.52</v>
      </c>
      <c r="F266" s="13">
        <v>67.400000000000006</v>
      </c>
      <c r="G266" s="13">
        <f t="shared" si="167"/>
        <v>134.80000000000001</v>
      </c>
      <c r="H266" s="13">
        <v>0</v>
      </c>
      <c r="I266" s="13">
        <v>0</v>
      </c>
      <c r="J266" s="13">
        <f t="shared" si="162"/>
        <v>0</v>
      </c>
      <c r="K266" s="13">
        <f t="shared" si="163"/>
        <v>0</v>
      </c>
      <c r="L266" s="13">
        <f t="shared" si="164"/>
        <v>0</v>
      </c>
      <c r="M266" s="13">
        <f t="shared" si="165"/>
        <v>0</v>
      </c>
      <c r="N266" s="62">
        <f t="shared" si="166"/>
        <v>0</v>
      </c>
    </row>
    <row r="267" spans="1:14" ht="24.75" hidden="1" customHeight="1" x14ac:dyDescent="0.2">
      <c r="A267" s="11" t="s">
        <v>497</v>
      </c>
      <c r="B267" s="11" t="s">
        <v>498</v>
      </c>
      <c r="C267" s="12" t="s">
        <v>28</v>
      </c>
      <c r="D267" s="13">
        <v>1</v>
      </c>
      <c r="E267" s="13">
        <f>[1]CPUs!I2371</f>
        <v>56.63</v>
      </c>
      <c r="F267" s="13">
        <v>70.010000000000005</v>
      </c>
      <c r="G267" s="13">
        <f t="shared" si="167"/>
        <v>70.010000000000005</v>
      </c>
      <c r="H267" s="13">
        <v>0</v>
      </c>
      <c r="I267" s="13">
        <v>0</v>
      </c>
      <c r="J267" s="13">
        <f t="shared" si="162"/>
        <v>0</v>
      </c>
      <c r="K267" s="13">
        <f t="shared" si="163"/>
        <v>0</v>
      </c>
      <c r="L267" s="13">
        <f t="shared" si="164"/>
        <v>0</v>
      </c>
      <c r="M267" s="13">
        <f t="shared" si="165"/>
        <v>0</v>
      </c>
      <c r="N267" s="62">
        <f t="shared" si="166"/>
        <v>0</v>
      </c>
    </row>
    <row r="268" spans="1:14" ht="24.75" hidden="1" customHeight="1" x14ac:dyDescent="0.2">
      <c r="A268" s="11" t="s">
        <v>499</v>
      </c>
      <c r="B268" s="11" t="s">
        <v>500</v>
      </c>
      <c r="C268" s="12" t="s">
        <v>28</v>
      </c>
      <c r="D268" s="13">
        <v>5</v>
      </c>
      <c r="E268" s="13">
        <f>[1]CPUs!I2380</f>
        <v>56.63</v>
      </c>
      <c r="F268" s="13">
        <v>70.010000000000005</v>
      </c>
      <c r="G268" s="13">
        <f t="shared" si="167"/>
        <v>350.05</v>
      </c>
      <c r="H268" s="13">
        <v>0</v>
      </c>
      <c r="I268" s="13">
        <v>0</v>
      </c>
      <c r="J268" s="13">
        <f t="shared" si="162"/>
        <v>0</v>
      </c>
      <c r="K268" s="13">
        <f t="shared" si="163"/>
        <v>0</v>
      </c>
      <c r="L268" s="13">
        <f t="shared" si="164"/>
        <v>0</v>
      </c>
      <c r="M268" s="13">
        <f t="shared" si="165"/>
        <v>0</v>
      </c>
      <c r="N268" s="62">
        <f t="shared" si="166"/>
        <v>0</v>
      </c>
    </row>
    <row r="269" spans="1:14" ht="24.75" hidden="1" customHeight="1" x14ac:dyDescent="0.2">
      <c r="A269" s="11" t="s">
        <v>501</v>
      </c>
      <c r="B269" s="11" t="s">
        <v>502</v>
      </c>
      <c r="C269" s="12" t="s">
        <v>28</v>
      </c>
      <c r="D269" s="13">
        <v>1</v>
      </c>
      <c r="E269" s="13">
        <f>[1]CPUs!I2389</f>
        <v>59.14</v>
      </c>
      <c r="F269" s="13">
        <v>73.11</v>
      </c>
      <c r="G269" s="13">
        <f t="shared" si="167"/>
        <v>73.11</v>
      </c>
      <c r="H269" s="13">
        <v>0</v>
      </c>
      <c r="I269" s="13">
        <v>0</v>
      </c>
      <c r="J269" s="13">
        <f t="shared" si="162"/>
        <v>0</v>
      </c>
      <c r="K269" s="13">
        <f t="shared" si="163"/>
        <v>0</v>
      </c>
      <c r="L269" s="13">
        <f t="shared" si="164"/>
        <v>0</v>
      </c>
      <c r="M269" s="13">
        <f t="shared" si="165"/>
        <v>0</v>
      </c>
      <c r="N269" s="62">
        <f t="shared" si="166"/>
        <v>0</v>
      </c>
    </row>
    <row r="270" spans="1:14" ht="24.75" hidden="1" customHeight="1" x14ac:dyDescent="0.2">
      <c r="A270" s="11" t="s">
        <v>503</v>
      </c>
      <c r="B270" s="11" t="s">
        <v>504</v>
      </c>
      <c r="C270" s="12" t="s">
        <v>28</v>
      </c>
      <c r="D270" s="13">
        <v>2</v>
      </c>
      <c r="E270" s="13">
        <f>[1]CPUs!I2398</f>
        <v>62.18</v>
      </c>
      <c r="F270" s="13">
        <v>76.87</v>
      </c>
      <c r="G270" s="13">
        <f t="shared" si="167"/>
        <v>153.74</v>
      </c>
      <c r="H270" s="13">
        <v>0</v>
      </c>
      <c r="I270" s="13">
        <v>0</v>
      </c>
      <c r="J270" s="13">
        <f t="shared" si="162"/>
        <v>0</v>
      </c>
      <c r="K270" s="13">
        <f t="shared" si="163"/>
        <v>0</v>
      </c>
      <c r="L270" s="13">
        <f t="shared" si="164"/>
        <v>0</v>
      </c>
      <c r="M270" s="13">
        <f t="shared" si="165"/>
        <v>0</v>
      </c>
      <c r="N270" s="62">
        <f t="shared" si="166"/>
        <v>0</v>
      </c>
    </row>
    <row r="271" spans="1:14" ht="24.75" hidden="1" customHeight="1" x14ac:dyDescent="0.2">
      <c r="A271" s="11" t="s">
        <v>505</v>
      </c>
      <c r="B271" s="11" t="s">
        <v>506</v>
      </c>
      <c r="C271" s="12" t="s">
        <v>28</v>
      </c>
      <c r="D271" s="13">
        <v>62</v>
      </c>
      <c r="E271" s="13">
        <f>[1]CPUs!I2407</f>
        <v>67.150000000000006</v>
      </c>
      <c r="F271" s="13">
        <v>83.01</v>
      </c>
      <c r="G271" s="13">
        <f t="shared" si="167"/>
        <v>5146.62</v>
      </c>
      <c r="H271" s="13">
        <v>0</v>
      </c>
      <c r="I271" s="13">
        <v>0</v>
      </c>
      <c r="J271" s="13">
        <f t="shared" si="162"/>
        <v>0</v>
      </c>
      <c r="K271" s="13">
        <f t="shared" si="163"/>
        <v>0</v>
      </c>
      <c r="L271" s="13">
        <f t="shared" si="164"/>
        <v>0</v>
      </c>
      <c r="M271" s="13">
        <f t="shared" si="165"/>
        <v>0</v>
      </c>
      <c r="N271" s="62">
        <f t="shared" si="166"/>
        <v>0</v>
      </c>
    </row>
    <row r="272" spans="1:14" ht="24.75" hidden="1" customHeight="1" x14ac:dyDescent="0.2">
      <c r="A272" s="11" t="s">
        <v>507</v>
      </c>
      <c r="B272" s="11" t="s">
        <v>508</v>
      </c>
      <c r="C272" s="12" t="s">
        <v>28</v>
      </c>
      <c r="D272" s="13">
        <v>12</v>
      </c>
      <c r="E272" s="13">
        <f>[1]CPUs!I2416</f>
        <v>10.92</v>
      </c>
      <c r="F272" s="13">
        <v>13.5</v>
      </c>
      <c r="G272" s="13">
        <f t="shared" si="167"/>
        <v>162</v>
      </c>
      <c r="H272" s="13">
        <v>0</v>
      </c>
      <c r="I272" s="13">
        <v>0</v>
      </c>
      <c r="J272" s="13">
        <f t="shared" si="162"/>
        <v>0</v>
      </c>
      <c r="K272" s="13">
        <f t="shared" si="163"/>
        <v>0</v>
      </c>
      <c r="L272" s="13">
        <f t="shared" si="164"/>
        <v>0</v>
      </c>
      <c r="M272" s="13">
        <f t="shared" si="165"/>
        <v>0</v>
      </c>
      <c r="N272" s="62">
        <f t="shared" si="166"/>
        <v>0</v>
      </c>
    </row>
    <row r="273" spans="1:14" ht="24.75" hidden="1" customHeight="1" x14ac:dyDescent="0.2">
      <c r="A273" s="11" t="s">
        <v>509</v>
      </c>
      <c r="B273" s="11" t="s">
        <v>510</v>
      </c>
      <c r="C273" s="12" t="s">
        <v>28</v>
      </c>
      <c r="D273" s="13">
        <v>1</v>
      </c>
      <c r="E273" s="13">
        <f>[1]CPUs!I2425</f>
        <v>11.4</v>
      </c>
      <c r="F273" s="13">
        <v>14.09</v>
      </c>
      <c r="G273" s="13">
        <f t="shared" si="167"/>
        <v>14.09</v>
      </c>
      <c r="H273" s="13">
        <v>0</v>
      </c>
      <c r="I273" s="13">
        <v>0</v>
      </c>
      <c r="J273" s="13">
        <f t="shared" si="162"/>
        <v>0</v>
      </c>
      <c r="K273" s="13">
        <f t="shared" si="163"/>
        <v>0</v>
      </c>
      <c r="L273" s="13">
        <f t="shared" si="164"/>
        <v>0</v>
      </c>
      <c r="M273" s="13">
        <f t="shared" si="165"/>
        <v>0</v>
      </c>
      <c r="N273" s="62">
        <f t="shared" si="166"/>
        <v>0</v>
      </c>
    </row>
    <row r="274" spans="1:14" ht="24.75" hidden="1" customHeight="1" x14ac:dyDescent="0.2">
      <c r="A274" s="11" t="s">
        <v>511</v>
      </c>
      <c r="B274" s="11" t="s">
        <v>512</v>
      </c>
      <c r="C274" s="12" t="s">
        <v>28</v>
      </c>
      <c r="D274" s="13">
        <v>6</v>
      </c>
      <c r="E274" s="13">
        <f>[1]CPUs!I2434</f>
        <v>12.46</v>
      </c>
      <c r="F274" s="13">
        <v>15.4</v>
      </c>
      <c r="G274" s="13">
        <f t="shared" si="167"/>
        <v>92.4</v>
      </c>
      <c r="H274" s="13">
        <v>0</v>
      </c>
      <c r="I274" s="13">
        <v>0</v>
      </c>
      <c r="J274" s="13">
        <f t="shared" si="162"/>
        <v>0</v>
      </c>
      <c r="K274" s="13">
        <f t="shared" si="163"/>
        <v>0</v>
      </c>
      <c r="L274" s="13">
        <f t="shared" si="164"/>
        <v>0</v>
      </c>
      <c r="M274" s="13">
        <f t="shared" si="165"/>
        <v>0</v>
      </c>
      <c r="N274" s="62">
        <f t="shared" si="166"/>
        <v>0</v>
      </c>
    </row>
    <row r="275" spans="1:14" ht="24.75" hidden="1" customHeight="1" x14ac:dyDescent="0.2">
      <c r="A275" s="11" t="s">
        <v>513</v>
      </c>
      <c r="B275" s="11" t="s">
        <v>514</v>
      </c>
      <c r="C275" s="12" t="s">
        <v>28</v>
      </c>
      <c r="D275" s="13">
        <v>1</v>
      </c>
      <c r="E275" s="13">
        <f>[1]CPUs!I2443</f>
        <v>12.46</v>
      </c>
      <c r="F275" s="13">
        <v>15.4</v>
      </c>
      <c r="G275" s="13">
        <f t="shared" si="167"/>
        <v>15.4</v>
      </c>
      <c r="H275" s="13">
        <v>0</v>
      </c>
      <c r="I275" s="13">
        <v>0</v>
      </c>
      <c r="J275" s="13">
        <f t="shared" si="162"/>
        <v>0</v>
      </c>
      <c r="K275" s="13">
        <f t="shared" si="163"/>
        <v>0</v>
      </c>
      <c r="L275" s="13">
        <f t="shared" si="164"/>
        <v>0</v>
      </c>
      <c r="M275" s="13">
        <f t="shared" si="165"/>
        <v>0</v>
      </c>
      <c r="N275" s="62">
        <f t="shared" si="166"/>
        <v>0</v>
      </c>
    </row>
    <row r="276" spans="1:14" ht="24.75" hidden="1" customHeight="1" x14ac:dyDescent="0.2">
      <c r="A276" s="11" t="s">
        <v>515</v>
      </c>
      <c r="B276" s="11" t="s">
        <v>516</v>
      </c>
      <c r="C276" s="12" t="s">
        <v>28</v>
      </c>
      <c r="D276" s="13">
        <v>2</v>
      </c>
      <c r="E276" s="13">
        <f>[1]CPUs!I2452</f>
        <v>13.71</v>
      </c>
      <c r="F276" s="13">
        <v>16.940000000000001</v>
      </c>
      <c r="G276" s="13">
        <f t="shared" si="167"/>
        <v>33.880000000000003</v>
      </c>
      <c r="H276" s="13">
        <v>0</v>
      </c>
      <c r="I276" s="13">
        <v>0</v>
      </c>
      <c r="J276" s="13">
        <f t="shared" si="162"/>
        <v>0</v>
      </c>
      <c r="K276" s="13">
        <f t="shared" si="163"/>
        <v>0</v>
      </c>
      <c r="L276" s="13">
        <f t="shared" si="164"/>
        <v>0</v>
      </c>
      <c r="M276" s="13">
        <f t="shared" si="165"/>
        <v>0</v>
      </c>
      <c r="N276" s="62">
        <f t="shared" si="166"/>
        <v>0</v>
      </c>
    </row>
    <row r="277" spans="1:14" ht="24.75" hidden="1" customHeight="1" x14ac:dyDescent="0.2">
      <c r="A277" s="11" t="s">
        <v>517</v>
      </c>
      <c r="B277" s="11" t="s">
        <v>518</v>
      </c>
      <c r="C277" s="12" t="s">
        <v>28</v>
      </c>
      <c r="D277" s="13">
        <v>79</v>
      </c>
      <c r="E277" s="13">
        <f>[1]CPUs!I2461</f>
        <v>19.7</v>
      </c>
      <c r="F277" s="13">
        <v>24.35</v>
      </c>
      <c r="G277" s="13">
        <f t="shared" si="167"/>
        <v>1923.65</v>
      </c>
      <c r="H277" s="13">
        <v>0</v>
      </c>
      <c r="I277" s="13">
        <v>0</v>
      </c>
      <c r="J277" s="13">
        <f t="shared" si="162"/>
        <v>0</v>
      </c>
      <c r="K277" s="13">
        <f t="shared" si="163"/>
        <v>0</v>
      </c>
      <c r="L277" s="13">
        <f t="shared" si="164"/>
        <v>0</v>
      </c>
      <c r="M277" s="13">
        <f t="shared" si="165"/>
        <v>0</v>
      </c>
      <c r="N277" s="62">
        <f t="shared" si="166"/>
        <v>0</v>
      </c>
    </row>
    <row r="278" spans="1:14" ht="24.75" hidden="1" customHeight="1" x14ac:dyDescent="0.2">
      <c r="A278" s="11" t="s">
        <v>519</v>
      </c>
      <c r="B278" s="11" t="s">
        <v>520</v>
      </c>
      <c r="C278" s="12" t="s">
        <v>28</v>
      </c>
      <c r="D278" s="13">
        <v>1</v>
      </c>
      <c r="E278" s="13">
        <f>[1]CPUs!I2470</f>
        <v>143.80000000000001</v>
      </c>
      <c r="F278" s="13">
        <v>177.77</v>
      </c>
      <c r="G278" s="13">
        <f t="shared" si="167"/>
        <v>177.77</v>
      </c>
      <c r="H278" s="13">
        <v>0</v>
      </c>
      <c r="I278" s="13">
        <v>0</v>
      </c>
      <c r="J278" s="13">
        <f t="shared" si="162"/>
        <v>0</v>
      </c>
      <c r="K278" s="13">
        <f t="shared" si="163"/>
        <v>0</v>
      </c>
      <c r="L278" s="13">
        <f t="shared" si="164"/>
        <v>0</v>
      </c>
      <c r="M278" s="13">
        <f t="shared" si="165"/>
        <v>0</v>
      </c>
      <c r="N278" s="62">
        <f t="shared" si="166"/>
        <v>0</v>
      </c>
    </row>
    <row r="279" spans="1:14" ht="24.75" hidden="1" customHeight="1" x14ac:dyDescent="0.2">
      <c r="A279" s="11" t="s">
        <v>521</v>
      </c>
      <c r="B279" s="11" t="s">
        <v>522</v>
      </c>
      <c r="C279" s="12" t="s">
        <v>28</v>
      </c>
      <c r="D279" s="13">
        <v>2</v>
      </c>
      <c r="E279" s="13">
        <f>[1]CPUs!I2480</f>
        <v>139.41999999999999</v>
      </c>
      <c r="F279" s="13">
        <v>161.29</v>
      </c>
      <c r="G279" s="13">
        <f t="shared" si="167"/>
        <v>322.58</v>
      </c>
      <c r="H279" s="13">
        <v>0</v>
      </c>
      <c r="I279" s="13">
        <v>0</v>
      </c>
      <c r="J279" s="13">
        <f t="shared" si="162"/>
        <v>0</v>
      </c>
      <c r="K279" s="13">
        <f t="shared" si="163"/>
        <v>0</v>
      </c>
      <c r="L279" s="13">
        <f t="shared" si="164"/>
        <v>0</v>
      </c>
      <c r="M279" s="13">
        <f t="shared" si="165"/>
        <v>0</v>
      </c>
      <c r="N279" s="62">
        <f t="shared" si="166"/>
        <v>0</v>
      </c>
    </row>
    <row r="280" spans="1:14" ht="24.75" hidden="1" customHeight="1" x14ac:dyDescent="0.2">
      <c r="A280" s="11" t="s">
        <v>523</v>
      </c>
      <c r="B280" s="11" t="s">
        <v>524</v>
      </c>
      <c r="C280" s="12" t="s">
        <v>28</v>
      </c>
      <c r="D280" s="13">
        <v>7</v>
      </c>
      <c r="E280" s="13">
        <f>[1]CPUs!I2486</f>
        <v>122.36</v>
      </c>
      <c r="F280" s="13">
        <v>141.56</v>
      </c>
      <c r="G280" s="13">
        <f t="shared" si="167"/>
        <v>990.92000000000007</v>
      </c>
      <c r="H280" s="13">
        <v>0</v>
      </c>
      <c r="I280" s="13">
        <v>0</v>
      </c>
      <c r="J280" s="13">
        <f t="shared" si="162"/>
        <v>0</v>
      </c>
      <c r="K280" s="13">
        <f t="shared" si="163"/>
        <v>0</v>
      </c>
      <c r="L280" s="13">
        <f t="shared" si="164"/>
        <v>0</v>
      </c>
      <c r="M280" s="13">
        <f t="shared" si="165"/>
        <v>0</v>
      </c>
      <c r="N280" s="62">
        <f t="shared" si="166"/>
        <v>0</v>
      </c>
    </row>
    <row r="281" spans="1:14" ht="24.75" hidden="1" customHeight="1" x14ac:dyDescent="0.2">
      <c r="A281" s="11" t="s">
        <v>525</v>
      </c>
      <c r="B281" s="11" t="s">
        <v>526</v>
      </c>
      <c r="C281" s="12" t="s">
        <v>28</v>
      </c>
      <c r="D281" s="13">
        <v>13</v>
      </c>
      <c r="E281" s="13">
        <f>[1]CPUs!I2493</f>
        <v>5.97</v>
      </c>
      <c r="F281" s="13">
        <v>7.38</v>
      </c>
      <c r="G281" s="13">
        <f t="shared" si="167"/>
        <v>95.94</v>
      </c>
      <c r="H281" s="13">
        <v>0</v>
      </c>
      <c r="I281" s="13">
        <v>0</v>
      </c>
      <c r="J281" s="13">
        <f t="shared" si="162"/>
        <v>0</v>
      </c>
      <c r="K281" s="13">
        <f t="shared" si="163"/>
        <v>0</v>
      </c>
      <c r="L281" s="13">
        <f t="shared" si="164"/>
        <v>0</v>
      </c>
      <c r="M281" s="13">
        <f t="shared" si="165"/>
        <v>0</v>
      </c>
      <c r="N281" s="62">
        <f t="shared" si="166"/>
        <v>0</v>
      </c>
    </row>
    <row r="282" spans="1:14" ht="24.75" hidden="1" customHeight="1" x14ac:dyDescent="0.2">
      <c r="A282" s="11" t="s">
        <v>527</v>
      </c>
      <c r="B282" s="11" t="s">
        <v>528</v>
      </c>
      <c r="C282" s="12" t="s">
        <v>28</v>
      </c>
      <c r="D282" s="13">
        <v>7</v>
      </c>
      <c r="E282" s="13">
        <f>[1]CPUs!I2500</f>
        <v>52.65</v>
      </c>
      <c r="F282" s="13">
        <v>65.09</v>
      </c>
      <c r="G282" s="13">
        <f t="shared" si="167"/>
        <v>455.63</v>
      </c>
      <c r="H282" s="13">
        <v>0</v>
      </c>
      <c r="I282" s="13">
        <v>0</v>
      </c>
      <c r="J282" s="13">
        <f t="shared" si="162"/>
        <v>0</v>
      </c>
      <c r="K282" s="13">
        <f t="shared" si="163"/>
        <v>0</v>
      </c>
      <c r="L282" s="13">
        <f t="shared" si="164"/>
        <v>0</v>
      </c>
      <c r="M282" s="13">
        <f t="shared" si="165"/>
        <v>0</v>
      </c>
      <c r="N282" s="62">
        <f t="shared" si="166"/>
        <v>0</v>
      </c>
    </row>
    <row r="283" spans="1:14" ht="24.75" hidden="1" customHeight="1" x14ac:dyDescent="0.2">
      <c r="A283" s="16" t="s">
        <v>529</v>
      </c>
      <c r="B283" s="16" t="s">
        <v>530</v>
      </c>
      <c r="C283" s="16"/>
      <c r="D283" s="20"/>
      <c r="E283" s="19"/>
      <c r="F283" s="19"/>
      <c r="G283" s="20">
        <f t="shared" ref="G283" si="168">SUM(G284:G290)</f>
        <v>446926.95278584154</v>
      </c>
      <c r="H283" s="20"/>
      <c r="I283" s="19"/>
      <c r="J283" s="20"/>
      <c r="K283" s="20">
        <f t="shared" ref="K283:L283" si="169">SUM(K284:K290)</f>
        <v>0</v>
      </c>
      <c r="L283" s="20">
        <f t="shared" si="169"/>
        <v>0</v>
      </c>
      <c r="M283" s="20">
        <f>SUM(M284:M290)</f>
        <v>0</v>
      </c>
      <c r="N283" s="61">
        <f t="shared" si="166"/>
        <v>0</v>
      </c>
    </row>
    <row r="284" spans="1:14" ht="24.75" hidden="1" customHeight="1" x14ac:dyDescent="0.2">
      <c r="A284" s="11" t="s">
        <v>531</v>
      </c>
      <c r="B284" s="11" t="s">
        <v>532</v>
      </c>
      <c r="C284" s="12" t="s">
        <v>46</v>
      </c>
      <c r="D284" s="13">
        <v>90.6</v>
      </c>
      <c r="E284" s="13">
        <f>[1]CPUs!I2507</f>
        <v>38.862104999999993</v>
      </c>
      <c r="F284" s="13">
        <v>48.04522041149999</v>
      </c>
      <c r="G284" s="13">
        <f>(F284*D284)</f>
        <v>4352.8969692818991</v>
      </c>
      <c r="H284" s="13">
        <v>0</v>
      </c>
      <c r="I284" s="13">
        <v>0</v>
      </c>
      <c r="J284" s="13">
        <f t="shared" ref="J284:J290" si="170">H284+I284</f>
        <v>0</v>
      </c>
      <c r="K284" s="13">
        <f t="shared" ref="K284:K290" si="171">H284*F284</f>
        <v>0</v>
      </c>
      <c r="L284" s="13">
        <f t="shared" ref="L284:L290" si="172">I284*F284</f>
        <v>0</v>
      </c>
      <c r="M284" s="13">
        <f t="shared" ref="M284:M290" si="173">J284*F284</f>
        <v>0</v>
      </c>
      <c r="N284" s="62">
        <f t="shared" ref="N284:N291" si="174">M284/G284</f>
        <v>0</v>
      </c>
    </row>
    <row r="285" spans="1:14" ht="24.75" hidden="1" customHeight="1" x14ac:dyDescent="0.2">
      <c r="A285" s="11" t="s">
        <v>533</v>
      </c>
      <c r="B285" s="11" t="s">
        <v>534</v>
      </c>
      <c r="C285" s="12" t="s">
        <v>46</v>
      </c>
      <c r="D285" s="13">
        <v>278.10000000000002</v>
      </c>
      <c r="E285" s="13">
        <f>[1]CPUs!I2516</f>
        <v>53.746579999999987</v>
      </c>
      <c r="F285" s="13">
        <v>66.446896853999988</v>
      </c>
      <c r="G285" s="13">
        <f t="shared" ref="G285:G290" si="175">D285*F285</f>
        <v>18478.882015097399</v>
      </c>
      <c r="H285" s="13">
        <v>0</v>
      </c>
      <c r="I285" s="13">
        <v>0</v>
      </c>
      <c r="J285" s="13">
        <f t="shared" si="170"/>
        <v>0</v>
      </c>
      <c r="K285" s="13">
        <f t="shared" si="171"/>
        <v>0</v>
      </c>
      <c r="L285" s="13">
        <f t="shared" si="172"/>
        <v>0</v>
      </c>
      <c r="M285" s="13">
        <f t="shared" si="173"/>
        <v>0</v>
      </c>
      <c r="N285" s="62">
        <f t="shared" si="174"/>
        <v>0</v>
      </c>
    </row>
    <row r="286" spans="1:14" ht="24.75" hidden="1" customHeight="1" x14ac:dyDescent="0.2">
      <c r="A286" s="11" t="s">
        <v>535</v>
      </c>
      <c r="B286" s="11" t="s">
        <v>536</v>
      </c>
      <c r="C286" s="12" t="s">
        <v>46</v>
      </c>
      <c r="D286" s="13">
        <v>42.3</v>
      </c>
      <c r="E286" s="13">
        <f>[1]CPUs!I2525</f>
        <v>69.454714999999993</v>
      </c>
      <c r="F286" s="13">
        <v>85.866864154499993</v>
      </c>
      <c r="G286" s="13">
        <f>(F286*D286)</f>
        <v>3632.1683537353492</v>
      </c>
      <c r="H286" s="13">
        <v>0</v>
      </c>
      <c r="I286" s="13">
        <v>0</v>
      </c>
      <c r="J286" s="13">
        <f t="shared" si="170"/>
        <v>0</v>
      </c>
      <c r="K286" s="13">
        <f t="shared" si="171"/>
        <v>0</v>
      </c>
      <c r="L286" s="13">
        <f t="shared" si="172"/>
        <v>0</v>
      </c>
      <c r="M286" s="13">
        <f t="shared" si="173"/>
        <v>0</v>
      </c>
      <c r="N286" s="62">
        <f t="shared" si="174"/>
        <v>0</v>
      </c>
    </row>
    <row r="287" spans="1:14" ht="24.75" hidden="1" customHeight="1" x14ac:dyDescent="0.2">
      <c r="A287" s="11" t="s">
        <v>537</v>
      </c>
      <c r="B287" s="11" t="s">
        <v>538</v>
      </c>
      <c r="C287" s="12" t="s">
        <v>46</v>
      </c>
      <c r="D287" s="13">
        <v>613.29999999999995</v>
      </c>
      <c r="E287" s="13">
        <f>[1]CPUs!I2534</f>
        <v>90.193189999999987</v>
      </c>
      <c r="F287" s="13">
        <v>111.50584079699999</v>
      </c>
      <c r="G287" s="13">
        <f t="shared" si="175"/>
        <v>68386.532160800096</v>
      </c>
      <c r="H287" s="13">
        <v>0</v>
      </c>
      <c r="I287" s="13">
        <v>0</v>
      </c>
      <c r="J287" s="13">
        <f t="shared" si="170"/>
        <v>0</v>
      </c>
      <c r="K287" s="13">
        <f t="shared" si="171"/>
        <v>0</v>
      </c>
      <c r="L287" s="13">
        <f t="shared" si="172"/>
        <v>0</v>
      </c>
      <c r="M287" s="13">
        <f t="shared" si="173"/>
        <v>0</v>
      </c>
      <c r="N287" s="62">
        <f t="shared" si="174"/>
        <v>0</v>
      </c>
    </row>
    <row r="288" spans="1:14" ht="24.75" hidden="1" customHeight="1" x14ac:dyDescent="0.2">
      <c r="A288" s="11" t="s">
        <v>539</v>
      </c>
      <c r="B288" s="11" t="s">
        <v>540</v>
      </c>
      <c r="C288" s="12" t="s">
        <v>46</v>
      </c>
      <c r="D288" s="13">
        <v>19.8</v>
      </c>
      <c r="E288" s="13">
        <f>[1]CPUs!I2543</f>
        <v>133.68797999999998</v>
      </c>
      <c r="F288" s="13">
        <v>165.27844967399997</v>
      </c>
      <c r="G288" s="13">
        <f t="shared" si="175"/>
        <v>3272.5133035451995</v>
      </c>
      <c r="H288" s="13">
        <v>0</v>
      </c>
      <c r="I288" s="13">
        <v>0</v>
      </c>
      <c r="J288" s="13">
        <f t="shared" si="170"/>
        <v>0</v>
      </c>
      <c r="K288" s="13">
        <f t="shared" si="171"/>
        <v>0</v>
      </c>
      <c r="L288" s="13">
        <f t="shared" si="172"/>
        <v>0</v>
      </c>
      <c r="M288" s="13">
        <f t="shared" si="173"/>
        <v>0</v>
      </c>
      <c r="N288" s="62">
        <f t="shared" si="174"/>
        <v>0</v>
      </c>
    </row>
    <row r="289" spans="1:14" ht="24.75" hidden="1" customHeight="1" x14ac:dyDescent="0.2">
      <c r="A289" s="11" t="s">
        <v>541</v>
      </c>
      <c r="B289" s="11" t="s">
        <v>542</v>
      </c>
      <c r="C289" s="12" t="s">
        <v>46</v>
      </c>
      <c r="D289" s="13">
        <v>1090.8</v>
      </c>
      <c r="E289" s="13">
        <f>[1]CPUs!I2552</f>
        <v>176.94013299999995</v>
      </c>
      <c r="F289" s="13">
        <v>218.75108642789993</v>
      </c>
      <c r="G289" s="13">
        <f>(F289*D289)</f>
        <v>238613.68507555325</v>
      </c>
      <c r="H289" s="13">
        <v>0</v>
      </c>
      <c r="I289" s="13">
        <v>0</v>
      </c>
      <c r="J289" s="13">
        <f t="shared" si="170"/>
        <v>0</v>
      </c>
      <c r="K289" s="13">
        <f t="shared" si="171"/>
        <v>0</v>
      </c>
      <c r="L289" s="13">
        <f t="shared" si="172"/>
        <v>0</v>
      </c>
      <c r="M289" s="13">
        <f t="shared" si="173"/>
        <v>0</v>
      </c>
      <c r="N289" s="62">
        <f t="shared" si="174"/>
        <v>0</v>
      </c>
    </row>
    <row r="290" spans="1:14" ht="24.75" hidden="1" customHeight="1" x14ac:dyDescent="0.2">
      <c r="A290" s="11" t="s">
        <v>543</v>
      </c>
      <c r="B290" s="11" t="s">
        <v>544</v>
      </c>
      <c r="C290" s="12" t="s">
        <v>46</v>
      </c>
      <c r="D290" s="13">
        <v>389.7</v>
      </c>
      <c r="E290" s="13">
        <f>[1]CPUs!I2561</f>
        <v>228.71202099999994</v>
      </c>
      <c r="F290" s="13">
        <v>282.75667156229991</v>
      </c>
      <c r="G290" s="13">
        <f t="shared" si="175"/>
        <v>110190.27490782828</v>
      </c>
      <c r="H290" s="13">
        <v>0</v>
      </c>
      <c r="I290" s="13">
        <v>0</v>
      </c>
      <c r="J290" s="13">
        <f t="shared" si="170"/>
        <v>0</v>
      </c>
      <c r="K290" s="13">
        <f t="shared" si="171"/>
        <v>0</v>
      </c>
      <c r="L290" s="13">
        <f t="shared" si="172"/>
        <v>0</v>
      </c>
      <c r="M290" s="13">
        <f t="shared" si="173"/>
        <v>0</v>
      </c>
      <c r="N290" s="62">
        <f t="shared" si="174"/>
        <v>0</v>
      </c>
    </row>
    <row r="291" spans="1:14" ht="24.75" hidden="1" customHeight="1" x14ac:dyDescent="0.2">
      <c r="A291" s="16" t="s">
        <v>545</v>
      </c>
      <c r="B291" s="16" t="s">
        <v>546</v>
      </c>
      <c r="C291" s="16"/>
      <c r="D291" s="20"/>
      <c r="E291" s="19"/>
      <c r="F291" s="19"/>
      <c r="G291" s="20">
        <f t="shared" ref="G291" si="176">SUM(G292:G302)</f>
        <v>81655.141988072981</v>
      </c>
      <c r="H291" s="20"/>
      <c r="I291" s="19"/>
      <c r="J291" s="20"/>
      <c r="K291" s="20">
        <f t="shared" ref="K291:L291" si="177">SUM(K292:K302)</f>
        <v>0</v>
      </c>
      <c r="L291" s="20">
        <f t="shared" si="177"/>
        <v>0</v>
      </c>
      <c r="M291" s="20">
        <f>SUM(M292:M302)</f>
        <v>0</v>
      </c>
      <c r="N291" s="61">
        <f t="shared" si="174"/>
        <v>0</v>
      </c>
    </row>
    <row r="292" spans="1:14" ht="24.75" hidden="1" customHeight="1" x14ac:dyDescent="0.2">
      <c r="A292" s="11" t="s">
        <v>547</v>
      </c>
      <c r="B292" s="11" t="s">
        <v>548</v>
      </c>
      <c r="C292" s="12" t="s">
        <v>28</v>
      </c>
      <c r="D292" s="13">
        <v>678</v>
      </c>
      <c r="E292" s="13">
        <f>[1]CPUs!I2570</f>
        <v>79.560444999999987</v>
      </c>
      <c r="F292" s="13">
        <v>98.360578153499986</v>
      </c>
      <c r="G292" s="13">
        <f>D292*F292</f>
        <v>66688.471988072997</v>
      </c>
      <c r="H292" s="13">
        <v>0</v>
      </c>
      <c r="I292" s="13">
        <v>0</v>
      </c>
      <c r="J292" s="13">
        <f t="shared" ref="J292:J302" si="178">H292+I292</f>
        <v>0</v>
      </c>
      <c r="K292" s="13">
        <f t="shared" ref="K292:K302" si="179">H292*F292</f>
        <v>0</v>
      </c>
      <c r="L292" s="13">
        <f t="shared" ref="L292:L302" si="180">I292*F292</f>
        <v>0</v>
      </c>
      <c r="M292" s="13">
        <f t="shared" ref="M292:M302" si="181">J292*F292</f>
        <v>0</v>
      </c>
      <c r="N292" s="62">
        <f t="shared" ref="N292:N303" si="182">M292/G292</f>
        <v>0</v>
      </c>
    </row>
    <row r="293" spans="1:14" ht="24.75" hidden="1" customHeight="1" x14ac:dyDescent="0.2">
      <c r="A293" s="11" t="s">
        <v>549</v>
      </c>
      <c r="B293" s="11" t="s">
        <v>550</v>
      </c>
      <c r="C293" s="12" t="s">
        <v>28</v>
      </c>
      <c r="D293" s="13">
        <v>12</v>
      </c>
      <c r="E293" s="13">
        <f>[1]CPUs!I2578</f>
        <v>92.62</v>
      </c>
      <c r="F293" s="13">
        <v>114.5</v>
      </c>
      <c r="G293" s="13">
        <f t="shared" ref="G293:G302" si="183">D293*F293</f>
        <v>1374</v>
      </c>
      <c r="H293" s="13">
        <v>0</v>
      </c>
      <c r="I293" s="13">
        <v>0</v>
      </c>
      <c r="J293" s="13">
        <f t="shared" si="178"/>
        <v>0</v>
      </c>
      <c r="K293" s="13">
        <f t="shared" si="179"/>
        <v>0</v>
      </c>
      <c r="L293" s="13">
        <f t="shared" si="180"/>
        <v>0</v>
      </c>
      <c r="M293" s="13">
        <f t="shared" si="181"/>
        <v>0</v>
      </c>
      <c r="N293" s="62">
        <f t="shared" si="182"/>
        <v>0</v>
      </c>
    </row>
    <row r="294" spans="1:14" ht="24.75" hidden="1" customHeight="1" x14ac:dyDescent="0.2">
      <c r="A294" s="11" t="s">
        <v>551</v>
      </c>
      <c r="B294" s="11" t="s">
        <v>550</v>
      </c>
      <c r="C294" s="12" t="s">
        <v>28</v>
      </c>
      <c r="D294" s="13">
        <v>55</v>
      </c>
      <c r="E294" s="13">
        <f>[1]CPUs!I2578</f>
        <v>92.62</v>
      </c>
      <c r="F294" s="13">
        <v>114.5</v>
      </c>
      <c r="G294" s="13">
        <f t="shared" si="183"/>
        <v>6297.5</v>
      </c>
      <c r="H294" s="13">
        <v>0</v>
      </c>
      <c r="I294" s="13">
        <v>0</v>
      </c>
      <c r="J294" s="13">
        <f t="shared" si="178"/>
        <v>0</v>
      </c>
      <c r="K294" s="13">
        <f t="shared" si="179"/>
        <v>0</v>
      </c>
      <c r="L294" s="13">
        <f t="shared" si="180"/>
        <v>0</v>
      </c>
      <c r="M294" s="13">
        <f t="shared" si="181"/>
        <v>0</v>
      </c>
      <c r="N294" s="62">
        <f t="shared" si="182"/>
        <v>0</v>
      </c>
    </row>
    <row r="295" spans="1:14" ht="24.75" hidden="1" customHeight="1" x14ac:dyDescent="0.2">
      <c r="A295" s="11" t="s">
        <v>552</v>
      </c>
      <c r="B295" s="11" t="s">
        <v>553</v>
      </c>
      <c r="C295" s="12" t="s">
        <v>28</v>
      </c>
      <c r="D295" s="13">
        <v>3</v>
      </c>
      <c r="E295" s="13">
        <f>[1]CPUs!I2587</f>
        <v>121.97</v>
      </c>
      <c r="F295" s="13">
        <v>150.79</v>
      </c>
      <c r="G295" s="13">
        <f t="shared" si="183"/>
        <v>452.37</v>
      </c>
      <c r="H295" s="13">
        <v>0</v>
      </c>
      <c r="I295" s="13">
        <v>0</v>
      </c>
      <c r="J295" s="13">
        <f t="shared" si="178"/>
        <v>0</v>
      </c>
      <c r="K295" s="13">
        <f t="shared" si="179"/>
        <v>0</v>
      </c>
      <c r="L295" s="13">
        <f t="shared" si="180"/>
        <v>0</v>
      </c>
      <c r="M295" s="13">
        <f t="shared" si="181"/>
        <v>0</v>
      </c>
      <c r="N295" s="62">
        <f t="shared" si="182"/>
        <v>0</v>
      </c>
    </row>
    <row r="296" spans="1:14" ht="24.75" hidden="1" customHeight="1" x14ac:dyDescent="0.2">
      <c r="A296" s="11" t="s">
        <v>554</v>
      </c>
      <c r="B296" s="11" t="s">
        <v>555</v>
      </c>
      <c r="C296" s="12" t="s">
        <v>28</v>
      </c>
      <c r="D296" s="13">
        <v>13</v>
      </c>
      <c r="E296" s="13">
        <f>[1]CPUs!I2596</f>
        <v>101.31</v>
      </c>
      <c r="F296" s="13">
        <v>125.24</v>
      </c>
      <c r="G296" s="13">
        <f t="shared" si="183"/>
        <v>1628.12</v>
      </c>
      <c r="H296" s="13">
        <v>0</v>
      </c>
      <c r="I296" s="13">
        <v>0</v>
      </c>
      <c r="J296" s="13">
        <f t="shared" si="178"/>
        <v>0</v>
      </c>
      <c r="K296" s="13">
        <f t="shared" si="179"/>
        <v>0</v>
      </c>
      <c r="L296" s="13">
        <f t="shared" si="180"/>
        <v>0</v>
      </c>
      <c r="M296" s="13">
        <f t="shared" si="181"/>
        <v>0</v>
      </c>
      <c r="N296" s="62">
        <f t="shared" si="182"/>
        <v>0</v>
      </c>
    </row>
    <row r="297" spans="1:14" ht="24.75" hidden="1" customHeight="1" x14ac:dyDescent="0.2">
      <c r="A297" s="11" t="s">
        <v>556</v>
      </c>
      <c r="B297" s="11" t="s">
        <v>557</v>
      </c>
      <c r="C297" s="12" t="s">
        <v>28</v>
      </c>
      <c r="D297" s="13">
        <v>80</v>
      </c>
      <c r="E297" s="13">
        <f>[1]CPUs!I2605</f>
        <v>37.700000000000003</v>
      </c>
      <c r="F297" s="13">
        <v>46.6</v>
      </c>
      <c r="G297" s="13">
        <f t="shared" si="183"/>
        <v>3728</v>
      </c>
      <c r="H297" s="13">
        <v>0</v>
      </c>
      <c r="I297" s="13">
        <v>0</v>
      </c>
      <c r="J297" s="13">
        <f t="shared" si="178"/>
        <v>0</v>
      </c>
      <c r="K297" s="13">
        <f t="shared" si="179"/>
        <v>0</v>
      </c>
      <c r="L297" s="13">
        <f t="shared" si="180"/>
        <v>0</v>
      </c>
      <c r="M297" s="13">
        <f t="shared" si="181"/>
        <v>0</v>
      </c>
      <c r="N297" s="62">
        <f t="shared" si="182"/>
        <v>0</v>
      </c>
    </row>
    <row r="298" spans="1:14" ht="24.75" hidden="1" customHeight="1" x14ac:dyDescent="0.2">
      <c r="A298" s="11" t="s">
        <v>558</v>
      </c>
      <c r="B298" s="11" t="s">
        <v>559</v>
      </c>
      <c r="C298" s="12" t="s">
        <v>28</v>
      </c>
      <c r="D298" s="13">
        <v>4</v>
      </c>
      <c r="E298" s="13">
        <f>[1]CPUs!I2614</f>
        <v>35.020000000000003</v>
      </c>
      <c r="F298" s="13">
        <v>43.29</v>
      </c>
      <c r="G298" s="13">
        <f t="shared" si="183"/>
        <v>173.16</v>
      </c>
      <c r="H298" s="13">
        <v>0</v>
      </c>
      <c r="I298" s="13">
        <v>0</v>
      </c>
      <c r="J298" s="13">
        <f t="shared" si="178"/>
        <v>0</v>
      </c>
      <c r="K298" s="13">
        <f t="shared" si="179"/>
        <v>0</v>
      </c>
      <c r="L298" s="13">
        <f t="shared" si="180"/>
        <v>0</v>
      </c>
      <c r="M298" s="13">
        <f t="shared" si="181"/>
        <v>0</v>
      </c>
      <c r="N298" s="62">
        <f t="shared" si="182"/>
        <v>0</v>
      </c>
    </row>
    <row r="299" spans="1:14" ht="24.75" hidden="1" customHeight="1" x14ac:dyDescent="0.2">
      <c r="A299" s="11" t="s">
        <v>560</v>
      </c>
      <c r="B299" s="11" t="s">
        <v>561</v>
      </c>
      <c r="C299" s="12" t="s">
        <v>28</v>
      </c>
      <c r="D299" s="13">
        <v>28</v>
      </c>
      <c r="E299" s="13">
        <f>[1]CPUs!I2623</f>
        <v>25.14</v>
      </c>
      <c r="F299" s="13">
        <v>31.08</v>
      </c>
      <c r="G299" s="13">
        <f t="shared" si="183"/>
        <v>870.24</v>
      </c>
      <c r="H299" s="13">
        <v>0</v>
      </c>
      <c r="I299" s="13">
        <v>0</v>
      </c>
      <c r="J299" s="13">
        <f t="shared" si="178"/>
        <v>0</v>
      </c>
      <c r="K299" s="13">
        <f t="shared" si="179"/>
        <v>0</v>
      </c>
      <c r="L299" s="13">
        <f t="shared" si="180"/>
        <v>0</v>
      </c>
      <c r="M299" s="13">
        <f t="shared" si="181"/>
        <v>0</v>
      </c>
      <c r="N299" s="62">
        <f t="shared" si="182"/>
        <v>0</v>
      </c>
    </row>
    <row r="300" spans="1:14" ht="24.75" hidden="1" customHeight="1" x14ac:dyDescent="0.2">
      <c r="A300" s="11" t="s">
        <v>562</v>
      </c>
      <c r="B300" s="11" t="s">
        <v>563</v>
      </c>
      <c r="C300" s="12" t="s">
        <v>28</v>
      </c>
      <c r="D300" s="13">
        <v>4</v>
      </c>
      <c r="E300" s="13">
        <f>[1]CPUs!I2631</f>
        <v>63.84</v>
      </c>
      <c r="F300" s="13">
        <v>78.92</v>
      </c>
      <c r="G300" s="13">
        <f t="shared" si="183"/>
        <v>315.68</v>
      </c>
      <c r="H300" s="13">
        <v>0</v>
      </c>
      <c r="I300" s="13">
        <v>0</v>
      </c>
      <c r="J300" s="13">
        <f t="shared" si="178"/>
        <v>0</v>
      </c>
      <c r="K300" s="13">
        <f t="shared" si="179"/>
        <v>0</v>
      </c>
      <c r="L300" s="13">
        <f t="shared" si="180"/>
        <v>0</v>
      </c>
      <c r="M300" s="13">
        <f t="shared" si="181"/>
        <v>0</v>
      </c>
      <c r="N300" s="62">
        <f t="shared" si="182"/>
        <v>0</v>
      </c>
    </row>
    <row r="301" spans="1:14" ht="24.75" hidden="1" customHeight="1" x14ac:dyDescent="0.2">
      <c r="A301" s="11" t="s">
        <v>564</v>
      </c>
      <c r="B301" s="11" t="s">
        <v>565</v>
      </c>
      <c r="C301" s="12" t="s">
        <v>46</v>
      </c>
      <c r="D301" s="13">
        <v>60</v>
      </c>
      <c r="E301" s="13">
        <f>[1]CPUs!I2639</f>
        <v>1.1399999999999999</v>
      </c>
      <c r="F301" s="13">
        <v>1.32</v>
      </c>
      <c r="G301" s="13">
        <f t="shared" si="183"/>
        <v>79.2</v>
      </c>
      <c r="H301" s="13">
        <v>0</v>
      </c>
      <c r="I301" s="13">
        <v>0</v>
      </c>
      <c r="J301" s="13">
        <f t="shared" si="178"/>
        <v>0</v>
      </c>
      <c r="K301" s="13">
        <f t="shared" si="179"/>
        <v>0</v>
      </c>
      <c r="L301" s="13">
        <f t="shared" si="180"/>
        <v>0</v>
      </c>
      <c r="M301" s="13">
        <f t="shared" si="181"/>
        <v>0</v>
      </c>
      <c r="N301" s="62">
        <f t="shared" si="182"/>
        <v>0</v>
      </c>
    </row>
    <row r="302" spans="1:14" ht="24.75" hidden="1" customHeight="1" x14ac:dyDescent="0.2">
      <c r="A302" s="11" t="s">
        <v>566</v>
      </c>
      <c r="B302" s="11" t="s">
        <v>567</v>
      </c>
      <c r="C302" s="12" t="s">
        <v>28</v>
      </c>
      <c r="D302" s="13">
        <v>5</v>
      </c>
      <c r="E302" s="13">
        <f>[1]CPUs!I2645</f>
        <v>8.3699999999999992</v>
      </c>
      <c r="F302" s="13">
        <v>9.68</v>
      </c>
      <c r="G302" s="13">
        <f t="shared" si="183"/>
        <v>48.4</v>
      </c>
      <c r="H302" s="13">
        <v>0</v>
      </c>
      <c r="I302" s="13">
        <v>0</v>
      </c>
      <c r="J302" s="13">
        <f t="shared" si="178"/>
        <v>0</v>
      </c>
      <c r="K302" s="13">
        <f t="shared" si="179"/>
        <v>0</v>
      </c>
      <c r="L302" s="13">
        <f t="shared" si="180"/>
        <v>0</v>
      </c>
      <c r="M302" s="13">
        <f t="shared" si="181"/>
        <v>0</v>
      </c>
      <c r="N302" s="62">
        <f t="shared" si="182"/>
        <v>0</v>
      </c>
    </row>
    <row r="303" spans="1:14" ht="24.75" hidden="1" customHeight="1" x14ac:dyDescent="0.2">
      <c r="A303" s="16" t="s">
        <v>568</v>
      </c>
      <c r="B303" s="16" t="s">
        <v>569</v>
      </c>
      <c r="C303" s="16"/>
      <c r="D303" s="20"/>
      <c r="E303" s="19"/>
      <c r="F303" s="19"/>
      <c r="G303" s="20">
        <f t="shared" ref="G303" si="184">SUM(G304:G314)</f>
        <v>60748.027976359997</v>
      </c>
      <c r="H303" s="20"/>
      <c r="I303" s="19"/>
      <c r="J303" s="20"/>
      <c r="K303" s="20">
        <f t="shared" ref="K303:L303" si="185">SUM(K304:K314)</f>
        <v>0</v>
      </c>
      <c r="L303" s="20">
        <f t="shared" si="185"/>
        <v>0</v>
      </c>
      <c r="M303" s="20">
        <f>SUM(M304:M314)</f>
        <v>0</v>
      </c>
      <c r="N303" s="61">
        <f t="shared" si="182"/>
        <v>0</v>
      </c>
    </row>
    <row r="304" spans="1:14" ht="24.75" hidden="1" customHeight="1" x14ac:dyDescent="0.2">
      <c r="A304" s="11" t="s">
        <v>570</v>
      </c>
      <c r="B304" s="11" t="s">
        <v>571</v>
      </c>
      <c r="C304" s="12" t="s">
        <v>28</v>
      </c>
      <c r="D304" s="13">
        <v>1</v>
      </c>
      <c r="E304" s="13">
        <f>[1]CPUs!I2652</f>
        <v>2242.6764000000003</v>
      </c>
      <c r="F304" s="13">
        <v>2772.6208333200002</v>
      </c>
      <c r="G304" s="13">
        <f>D304*F304</f>
        <v>2772.6208333200002</v>
      </c>
      <c r="H304" s="13">
        <v>0</v>
      </c>
      <c r="I304" s="13">
        <v>0</v>
      </c>
      <c r="J304" s="13">
        <f t="shared" ref="J304:J314" si="186">H304+I304</f>
        <v>0</v>
      </c>
      <c r="K304" s="13">
        <f t="shared" ref="K304:K314" si="187">H304*F304</f>
        <v>0</v>
      </c>
      <c r="L304" s="13">
        <f t="shared" ref="L304:L314" si="188">I304*F304</f>
        <v>0</v>
      </c>
      <c r="M304" s="13">
        <f t="shared" ref="M304:M314" si="189">J304*F304</f>
        <v>0</v>
      </c>
      <c r="N304" s="62">
        <f t="shared" ref="N304:N315" si="190">M304/G304</f>
        <v>0</v>
      </c>
    </row>
    <row r="305" spans="1:14" ht="24.75" hidden="1" customHeight="1" x14ac:dyDescent="0.2">
      <c r="A305" s="11" t="s">
        <v>572</v>
      </c>
      <c r="B305" s="11" t="s">
        <v>573</v>
      </c>
      <c r="C305" s="12" t="s">
        <v>28</v>
      </c>
      <c r="D305" s="13">
        <v>1</v>
      </c>
      <c r="E305" s="13">
        <f>[1]CPUs!I2679</f>
        <v>507.29</v>
      </c>
      <c r="F305" s="13">
        <v>627.16</v>
      </c>
      <c r="G305" s="13">
        <f t="shared" ref="G305:G314" si="191">D305*F305</f>
        <v>627.16</v>
      </c>
      <c r="H305" s="13">
        <v>0</v>
      </c>
      <c r="I305" s="13">
        <v>0</v>
      </c>
      <c r="J305" s="13">
        <f t="shared" si="186"/>
        <v>0</v>
      </c>
      <c r="K305" s="13">
        <f t="shared" si="187"/>
        <v>0</v>
      </c>
      <c r="L305" s="13">
        <f t="shared" si="188"/>
        <v>0</v>
      </c>
      <c r="M305" s="13">
        <f t="shared" si="189"/>
        <v>0</v>
      </c>
      <c r="N305" s="62">
        <f t="shared" si="190"/>
        <v>0</v>
      </c>
    </row>
    <row r="306" spans="1:14" ht="24.75" hidden="1" customHeight="1" x14ac:dyDescent="0.2">
      <c r="A306" s="11" t="s">
        <v>574</v>
      </c>
      <c r="B306" s="11" t="s">
        <v>575</v>
      </c>
      <c r="C306" s="12" t="s">
        <v>28</v>
      </c>
      <c r="D306" s="13">
        <v>1</v>
      </c>
      <c r="E306" s="13">
        <f>[1]CPUs!I2688</f>
        <v>1255.7216600000002</v>
      </c>
      <c r="F306" s="13">
        <v>1452.74</v>
      </c>
      <c r="G306" s="13">
        <f t="shared" si="191"/>
        <v>1452.74</v>
      </c>
      <c r="H306" s="13">
        <v>0</v>
      </c>
      <c r="I306" s="13">
        <v>0</v>
      </c>
      <c r="J306" s="13">
        <f t="shared" si="186"/>
        <v>0</v>
      </c>
      <c r="K306" s="13">
        <f t="shared" si="187"/>
        <v>0</v>
      </c>
      <c r="L306" s="13">
        <f t="shared" si="188"/>
        <v>0</v>
      </c>
      <c r="M306" s="13">
        <f t="shared" si="189"/>
        <v>0</v>
      </c>
      <c r="N306" s="62">
        <f t="shared" si="190"/>
        <v>0</v>
      </c>
    </row>
    <row r="307" spans="1:14" ht="24.75" hidden="1" customHeight="1" x14ac:dyDescent="0.2">
      <c r="A307" s="11" t="s">
        <v>576</v>
      </c>
      <c r="B307" s="11" t="s">
        <v>577</v>
      </c>
      <c r="C307" s="12" t="s">
        <v>28</v>
      </c>
      <c r="D307" s="13">
        <v>1</v>
      </c>
      <c r="E307" s="13">
        <f>[1]CPUs!I2703</f>
        <v>42597.580799999996</v>
      </c>
      <c r="F307" s="13">
        <v>52663.389143039996</v>
      </c>
      <c r="G307" s="13">
        <f>(F307*D307)</f>
        <v>52663.389143039996</v>
      </c>
      <c r="H307" s="13">
        <v>0</v>
      </c>
      <c r="I307" s="13">
        <v>0</v>
      </c>
      <c r="J307" s="13">
        <f t="shared" si="186"/>
        <v>0</v>
      </c>
      <c r="K307" s="13">
        <f t="shared" si="187"/>
        <v>0</v>
      </c>
      <c r="L307" s="13">
        <f t="shared" si="188"/>
        <v>0</v>
      </c>
      <c r="M307" s="13">
        <f t="shared" si="189"/>
        <v>0</v>
      </c>
      <c r="N307" s="62">
        <f t="shared" si="190"/>
        <v>0</v>
      </c>
    </row>
    <row r="308" spans="1:14" ht="24.75" hidden="1" customHeight="1" x14ac:dyDescent="0.2">
      <c r="A308" s="11" t="s">
        <v>578</v>
      </c>
      <c r="B308" s="11" t="s">
        <v>579</v>
      </c>
      <c r="C308" s="12" t="s">
        <v>28</v>
      </c>
      <c r="D308" s="13">
        <v>3</v>
      </c>
      <c r="E308" s="13">
        <f>[1]CPUs!I2713</f>
        <v>71.73</v>
      </c>
      <c r="F308" s="13">
        <v>88.67</v>
      </c>
      <c r="G308" s="13">
        <f t="shared" si="191"/>
        <v>266.01</v>
      </c>
      <c r="H308" s="13">
        <v>0</v>
      </c>
      <c r="I308" s="13">
        <v>0</v>
      </c>
      <c r="J308" s="13">
        <f t="shared" si="186"/>
        <v>0</v>
      </c>
      <c r="K308" s="13">
        <f t="shared" si="187"/>
        <v>0</v>
      </c>
      <c r="L308" s="13">
        <f t="shared" si="188"/>
        <v>0</v>
      </c>
      <c r="M308" s="13">
        <f t="shared" si="189"/>
        <v>0</v>
      </c>
      <c r="N308" s="62">
        <f t="shared" si="190"/>
        <v>0</v>
      </c>
    </row>
    <row r="309" spans="1:14" ht="24.75" hidden="1" customHeight="1" x14ac:dyDescent="0.2">
      <c r="A309" s="11" t="s">
        <v>580</v>
      </c>
      <c r="B309" s="11" t="s">
        <v>581</v>
      </c>
      <c r="C309" s="12" t="s">
        <v>28</v>
      </c>
      <c r="D309" s="13">
        <v>1</v>
      </c>
      <c r="E309" s="13">
        <f>[1]CPUs!I2721</f>
        <v>12.12</v>
      </c>
      <c r="F309" s="13">
        <v>14.98</v>
      </c>
      <c r="G309" s="13">
        <f t="shared" si="191"/>
        <v>14.98</v>
      </c>
      <c r="H309" s="13">
        <v>0</v>
      </c>
      <c r="I309" s="13">
        <v>0</v>
      </c>
      <c r="J309" s="13">
        <f t="shared" si="186"/>
        <v>0</v>
      </c>
      <c r="K309" s="13">
        <f t="shared" si="187"/>
        <v>0</v>
      </c>
      <c r="L309" s="13">
        <f t="shared" si="188"/>
        <v>0</v>
      </c>
      <c r="M309" s="13">
        <f t="shared" si="189"/>
        <v>0</v>
      </c>
      <c r="N309" s="62">
        <f t="shared" si="190"/>
        <v>0</v>
      </c>
    </row>
    <row r="310" spans="1:14" ht="24.75" hidden="1" customHeight="1" x14ac:dyDescent="0.2">
      <c r="A310" s="11" t="s">
        <v>582</v>
      </c>
      <c r="B310" s="11" t="s">
        <v>583</v>
      </c>
      <c r="C310" s="12" t="s">
        <v>28</v>
      </c>
      <c r="D310" s="13">
        <v>1</v>
      </c>
      <c r="E310" s="13">
        <f>[1]CPUs!I2729</f>
        <v>2272.9499999999998</v>
      </c>
      <c r="F310" s="13">
        <v>2629.58</v>
      </c>
      <c r="G310" s="13">
        <f t="shared" si="191"/>
        <v>2629.58</v>
      </c>
      <c r="H310" s="13">
        <v>0</v>
      </c>
      <c r="I310" s="13">
        <v>0</v>
      </c>
      <c r="J310" s="13">
        <f t="shared" si="186"/>
        <v>0</v>
      </c>
      <c r="K310" s="13">
        <f t="shared" si="187"/>
        <v>0</v>
      </c>
      <c r="L310" s="13">
        <f t="shared" si="188"/>
        <v>0</v>
      </c>
      <c r="M310" s="13">
        <f t="shared" si="189"/>
        <v>0</v>
      </c>
      <c r="N310" s="62">
        <f t="shared" si="190"/>
        <v>0</v>
      </c>
    </row>
    <row r="311" spans="1:14" ht="24.75" hidden="1" customHeight="1" x14ac:dyDescent="0.2">
      <c r="A311" s="11" t="s">
        <v>584</v>
      </c>
      <c r="B311" s="11" t="s">
        <v>585</v>
      </c>
      <c r="C311" s="12" t="s">
        <v>28</v>
      </c>
      <c r="D311" s="13">
        <v>10</v>
      </c>
      <c r="E311" s="13">
        <f>[1]CPUs!I2735</f>
        <v>5.22</v>
      </c>
      <c r="F311" s="13">
        <v>6.04</v>
      </c>
      <c r="G311" s="13">
        <f t="shared" si="191"/>
        <v>60.4</v>
      </c>
      <c r="H311" s="13">
        <v>0</v>
      </c>
      <c r="I311" s="13">
        <v>0</v>
      </c>
      <c r="J311" s="13">
        <f t="shared" si="186"/>
        <v>0</v>
      </c>
      <c r="K311" s="13">
        <f t="shared" si="187"/>
        <v>0</v>
      </c>
      <c r="L311" s="13">
        <f t="shared" si="188"/>
        <v>0</v>
      </c>
      <c r="M311" s="13">
        <f t="shared" si="189"/>
        <v>0</v>
      </c>
      <c r="N311" s="62">
        <f t="shared" si="190"/>
        <v>0</v>
      </c>
    </row>
    <row r="312" spans="1:14" ht="24.75" hidden="1" customHeight="1" x14ac:dyDescent="0.2">
      <c r="A312" s="11" t="s">
        <v>586</v>
      </c>
      <c r="B312" s="11" t="s">
        <v>587</v>
      </c>
      <c r="C312" s="12" t="s">
        <v>28</v>
      </c>
      <c r="D312" s="13">
        <v>10</v>
      </c>
      <c r="E312" s="13">
        <f>[1]CPUs!I2741</f>
        <v>6.5</v>
      </c>
      <c r="F312" s="13">
        <v>7.52</v>
      </c>
      <c r="G312" s="13">
        <f t="shared" si="191"/>
        <v>75.199999999999989</v>
      </c>
      <c r="H312" s="13">
        <v>0</v>
      </c>
      <c r="I312" s="13">
        <v>0</v>
      </c>
      <c r="J312" s="13">
        <f t="shared" si="186"/>
        <v>0</v>
      </c>
      <c r="K312" s="13">
        <f t="shared" si="187"/>
        <v>0</v>
      </c>
      <c r="L312" s="13">
        <f t="shared" si="188"/>
        <v>0</v>
      </c>
      <c r="M312" s="13">
        <f t="shared" si="189"/>
        <v>0</v>
      </c>
      <c r="N312" s="62">
        <f t="shared" si="190"/>
        <v>0</v>
      </c>
    </row>
    <row r="313" spans="1:14" ht="24.75" hidden="1" customHeight="1" x14ac:dyDescent="0.2">
      <c r="A313" s="11" t="s">
        <v>588</v>
      </c>
      <c r="B313" s="11" t="s">
        <v>589</v>
      </c>
      <c r="C313" s="12" t="s">
        <v>28</v>
      </c>
      <c r="D313" s="13">
        <v>0.1</v>
      </c>
      <c r="E313" s="13">
        <f>[1]CPUs!I2747</f>
        <v>90.31</v>
      </c>
      <c r="F313" s="13">
        <v>104.48</v>
      </c>
      <c r="G313" s="13">
        <f>(F313*D313)</f>
        <v>10.448</v>
      </c>
      <c r="H313" s="13">
        <v>0</v>
      </c>
      <c r="I313" s="13">
        <v>0</v>
      </c>
      <c r="J313" s="13">
        <f t="shared" si="186"/>
        <v>0</v>
      </c>
      <c r="K313" s="13">
        <f t="shared" si="187"/>
        <v>0</v>
      </c>
      <c r="L313" s="13">
        <f t="shared" si="188"/>
        <v>0</v>
      </c>
      <c r="M313" s="13">
        <f t="shared" si="189"/>
        <v>0</v>
      </c>
      <c r="N313" s="62">
        <f t="shared" si="190"/>
        <v>0</v>
      </c>
    </row>
    <row r="314" spans="1:14" ht="24.75" hidden="1" customHeight="1" x14ac:dyDescent="0.2">
      <c r="A314" s="11" t="s">
        <v>590</v>
      </c>
      <c r="B314" s="11" t="s">
        <v>591</v>
      </c>
      <c r="C314" s="12" t="s">
        <v>28</v>
      </c>
      <c r="D314" s="13">
        <v>10</v>
      </c>
      <c r="E314" s="13">
        <f>[1]CPUs!I2754</f>
        <v>14.2</v>
      </c>
      <c r="F314" s="13">
        <v>17.55</v>
      </c>
      <c r="G314" s="13">
        <f t="shared" si="191"/>
        <v>175.5</v>
      </c>
      <c r="H314" s="13">
        <v>0</v>
      </c>
      <c r="I314" s="13">
        <v>0</v>
      </c>
      <c r="J314" s="13">
        <f t="shared" si="186"/>
        <v>0</v>
      </c>
      <c r="K314" s="13">
        <f t="shared" si="187"/>
        <v>0</v>
      </c>
      <c r="L314" s="13">
        <f t="shared" si="188"/>
        <v>0</v>
      </c>
      <c r="M314" s="13">
        <f t="shared" si="189"/>
        <v>0</v>
      </c>
      <c r="N314" s="62">
        <f t="shared" si="190"/>
        <v>0</v>
      </c>
    </row>
    <row r="315" spans="1:14" ht="24.75" hidden="1" customHeight="1" x14ac:dyDescent="0.2">
      <c r="A315" s="16" t="s">
        <v>592</v>
      </c>
      <c r="B315" s="16" t="s">
        <v>593</v>
      </c>
      <c r="C315" s="16"/>
      <c r="D315" s="20"/>
      <c r="E315" s="19"/>
      <c r="F315" s="19"/>
      <c r="G315" s="20">
        <f t="shared" ref="G315" si="192">SUM(G316:G324)</f>
        <v>21635.233175100002</v>
      </c>
      <c r="H315" s="20"/>
      <c r="I315" s="19"/>
      <c r="J315" s="20"/>
      <c r="K315" s="20">
        <f t="shared" ref="K315:L315" si="193">SUM(K316:K324)</f>
        <v>0</v>
      </c>
      <c r="L315" s="20">
        <f t="shared" si="193"/>
        <v>0</v>
      </c>
      <c r="M315" s="20">
        <f>SUM(M316:M324)</f>
        <v>0</v>
      </c>
      <c r="N315" s="61">
        <f t="shared" si="190"/>
        <v>0</v>
      </c>
    </row>
    <row r="316" spans="1:14" ht="24.75" hidden="1" customHeight="1" x14ac:dyDescent="0.2">
      <c r="A316" s="11" t="s">
        <v>594</v>
      </c>
      <c r="B316" s="11" t="s">
        <v>595</v>
      </c>
      <c r="C316" s="12" t="s">
        <v>46</v>
      </c>
      <c r="D316" s="13">
        <v>50</v>
      </c>
      <c r="E316" s="13">
        <f>[1]CPUs!I2762</f>
        <v>59.17</v>
      </c>
      <c r="F316" s="13">
        <v>73.150000000000006</v>
      </c>
      <c r="G316" s="13">
        <f>D316*F316</f>
        <v>3657.5000000000005</v>
      </c>
      <c r="H316" s="13">
        <v>0</v>
      </c>
      <c r="I316" s="13">
        <v>0</v>
      </c>
      <c r="J316" s="13">
        <f t="shared" ref="J316:J324" si="194">H316+I316</f>
        <v>0</v>
      </c>
      <c r="K316" s="13">
        <f t="shared" ref="K316:K324" si="195">H316*F316</f>
        <v>0</v>
      </c>
      <c r="L316" s="13">
        <f t="shared" ref="L316:L324" si="196">I316*F316</f>
        <v>0</v>
      </c>
      <c r="M316" s="13">
        <f t="shared" ref="M316:M324" si="197">J316*F316</f>
        <v>0</v>
      </c>
      <c r="N316" s="62">
        <f t="shared" ref="N316:N325" si="198">M316/G316</f>
        <v>0</v>
      </c>
    </row>
    <row r="317" spans="1:14" ht="24.75" hidden="1" customHeight="1" x14ac:dyDescent="0.2">
      <c r="A317" s="11" t="s">
        <v>596</v>
      </c>
      <c r="B317" s="11" t="s">
        <v>597</v>
      </c>
      <c r="C317" s="12" t="s">
        <v>28</v>
      </c>
      <c r="D317" s="13">
        <v>4</v>
      </c>
      <c r="E317" s="13">
        <f>[1]CPUs!I2770</f>
        <v>17.71</v>
      </c>
      <c r="F317" s="13">
        <v>21.89</v>
      </c>
      <c r="G317" s="13">
        <f t="shared" ref="G317:G324" si="199">D317*F317</f>
        <v>87.56</v>
      </c>
      <c r="H317" s="13">
        <v>0</v>
      </c>
      <c r="I317" s="13">
        <v>0</v>
      </c>
      <c r="J317" s="13">
        <f t="shared" si="194"/>
        <v>0</v>
      </c>
      <c r="K317" s="13">
        <f t="shared" si="195"/>
        <v>0</v>
      </c>
      <c r="L317" s="13">
        <f t="shared" si="196"/>
        <v>0</v>
      </c>
      <c r="M317" s="13">
        <f t="shared" si="197"/>
        <v>0</v>
      </c>
      <c r="N317" s="62">
        <f t="shared" si="198"/>
        <v>0</v>
      </c>
    </row>
    <row r="318" spans="1:14" ht="24.75" hidden="1" customHeight="1" x14ac:dyDescent="0.2">
      <c r="A318" s="11" t="s">
        <v>598</v>
      </c>
      <c r="B318" s="11" t="s">
        <v>599</v>
      </c>
      <c r="C318" s="12" t="s">
        <v>28</v>
      </c>
      <c r="D318" s="13">
        <v>20</v>
      </c>
      <c r="E318" s="13">
        <f>[1]CPUs!I2778</f>
        <v>81.53</v>
      </c>
      <c r="F318" s="13">
        <v>100.79</v>
      </c>
      <c r="G318" s="13">
        <f t="shared" si="199"/>
        <v>2015.8000000000002</v>
      </c>
      <c r="H318" s="13">
        <v>0</v>
      </c>
      <c r="I318" s="13">
        <v>0</v>
      </c>
      <c r="J318" s="13">
        <f t="shared" si="194"/>
        <v>0</v>
      </c>
      <c r="K318" s="13">
        <f t="shared" si="195"/>
        <v>0</v>
      </c>
      <c r="L318" s="13">
        <f t="shared" si="196"/>
        <v>0</v>
      </c>
      <c r="M318" s="13">
        <f t="shared" si="197"/>
        <v>0</v>
      </c>
      <c r="N318" s="62">
        <f t="shared" si="198"/>
        <v>0</v>
      </c>
    </row>
    <row r="319" spans="1:14" ht="24.75" hidden="1" customHeight="1" x14ac:dyDescent="0.2">
      <c r="A319" s="11" t="s">
        <v>600</v>
      </c>
      <c r="B319" s="11" t="s">
        <v>601</v>
      </c>
      <c r="C319" s="12" t="s">
        <v>28</v>
      </c>
      <c r="D319" s="13">
        <v>20</v>
      </c>
      <c r="E319" s="13">
        <f>[1]CPUs!I2786</f>
        <v>46.02</v>
      </c>
      <c r="F319" s="13">
        <v>56.89</v>
      </c>
      <c r="G319" s="13">
        <f t="shared" si="199"/>
        <v>1137.8</v>
      </c>
      <c r="H319" s="13">
        <v>0</v>
      </c>
      <c r="I319" s="13">
        <v>0</v>
      </c>
      <c r="J319" s="13">
        <f t="shared" si="194"/>
        <v>0</v>
      </c>
      <c r="K319" s="13">
        <f t="shared" si="195"/>
        <v>0</v>
      </c>
      <c r="L319" s="13">
        <f t="shared" si="196"/>
        <v>0</v>
      </c>
      <c r="M319" s="13">
        <f t="shared" si="197"/>
        <v>0</v>
      </c>
      <c r="N319" s="62">
        <f t="shared" si="198"/>
        <v>0</v>
      </c>
    </row>
    <row r="320" spans="1:14" ht="24.75" hidden="1" customHeight="1" x14ac:dyDescent="0.2">
      <c r="A320" s="11" t="s">
        <v>602</v>
      </c>
      <c r="B320" s="11" t="s">
        <v>603</v>
      </c>
      <c r="C320" s="12" t="s">
        <v>46</v>
      </c>
      <c r="D320" s="13">
        <v>305</v>
      </c>
      <c r="E320" s="13">
        <f>[1]CPUs!I2795</f>
        <v>2.94</v>
      </c>
      <c r="F320" s="13">
        <v>3.4</v>
      </c>
      <c r="G320" s="13">
        <f t="shared" si="199"/>
        <v>1037</v>
      </c>
      <c r="H320" s="13">
        <v>0</v>
      </c>
      <c r="I320" s="13">
        <v>0</v>
      </c>
      <c r="J320" s="13">
        <f t="shared" si="194"/>
        <v>0</v>
      </c>
      <c r="K320" s="13">
        <f t="shared" si="195"/>
        <v>0</v>
      </c>
      <c r="L320" s="13">
        <f t="shared" si="196"/>
        <v>0</v>
      </c>
      <c r="M320" s="13">
        <f t="shared" si="197"/>
        <v>0</v>
      </c>
      <c r="N320" s="62">
        <f t="shared" si="198"/>
        <v>0</v>
      </c>
    </row>
    <row r="321" spans="1:14" ht="24.75" hidden="1" customHeight="1" x14ac:dyDescent="0.2">
      <c r="A321" s="11" t="s">
        <v>604</v>
      </c>
      <c r="B321" s="11" t="s">
        <v>605</v>
      </c>
      <c r="C321" s="12" t="s">
        <v>28</v>
      </c>
      <c r="D321" s="13">
        <v>20</v>
      </c>
      <c r="E321" s="13">
        <f>[1]CPUs!I2801</f>
        <v>12.83</v>
      </c>
      <c r="F321" s="13">
        <v>14.84</v>
      </c>
      <c r="G321" s="13">
        <f t="shared" si="199"/>
        <v>296.8</v>
      </c>
      <c r="H321" s="13">
        <v>0</v>
      </c>
      <c r="I321" s="13">
        <v>0</v>
      </c>
      <c r="J321" s="13">
        <f t="shared" si="194"/>
        <v>0</v>
      </c>
      <c r="K321" s="13">
        <f t="shared" si="195"/>
        <v>0</v>
      </c>
      <c r="L321" s="13">
        <f t="shared" si="196"/>
        <v>0</v>
      </c>
      <c r="M321" s="13">
        <f t="shared" si="197"/>
        <v>0</v>
      </c>
      <c r="N321" s="62">
        <f t="shared" si="198"/>
        <v>0</v>
      </c>
    </row>
    <row r="322" spans="1:14" ht="24.75" hidden="1" customHeight="1" x14ac:dyDescent="0.2">
      <c r="A322" s="11" t="s">
        <v>606</v>
      </c>
      <c r="B322" s="11" t="s">
        <v>607</v>
      </c>
      <c r="C322" s="12" t="s">
        <v>28</v>
      </c>
      <c r="D322" s="13">
        <v>1</v>
      </c>
      <c r="E322" s="13">
        <f>[1]CPUs!I2808</f>
        <v>92.13</v>
      </c>
      <c r="F322" s="13">
        <v>113.9</v>
      </c>
      <c r="G322" s="13">
        <f t="shared" si="199"/>
        <v>113.9</v>
      </c>
      <c r="H322" s="13">
        <v>0</v>
      </c>
      <c r="I322" s="13">
        <v>0</v>
      </c>
      <c r="J322" s="13">
        <f t="shared" si="194"/>
        <v>0</v>
      </c>
      <c r="K322" s="13">
        <f t="shared" si="195"/>
        <v>0</v>
      </c>
      <c r="L322" s="13">
        <f t="shared" si="196"/>
        <v>0</v>
      </c>
      <c r="M322" s="13">
        <f t="shared" si="197"/>
        <v>0</v>
      </c>
      <c r="N322" s="62">
        <f t="shared" si="198"/>
        <v>0</v>
      </c>
    </row>
    <row r="323" spans="1:14" ht="24.75" hidden="1" customHeight="1" x14ac:dyDescent="0.2">
      <c r="A323" s="11" t="s">
        <v>608</v>
      </c>
      <c r="B323" s="11" t="s">
        <v>609</v>
      </c>
      <c r="C323" s="12" t="s">
        <v>28</v>
      </c>
      <c r="D323" s="13">
        <v>1</v>
      </c>
      <c r="E323" s="13">
        <f>[1]CPUs!I2816</f>
        <v>74.23</v>
      </c>
      <c r="F323" s="13">
        <v>91.77</v>
      </c>
      <c r="G323" s="13">
        <f t="shared" si="199"/>
        <v>91.77</v>
      </c>
      <c r="H323" s="13">
        <v>0</v>
      </c>
      <c r="I323" s="13">
        <v>0</v>
      </c>
      <c r="J323" s="13">
        <f t="shared" si="194"/>
        <v>0</v>
      </c>
      <c r="K323" s="13">
        <f t="shared" si="195"/>
        <v>0</v>
      </c>
      <c r="L323" s="13">
        <f t="shared" si="196"/>
        <v>0</v>
      </c>
      <c r="M323" s="13">
        <f t="shared" si="197"/>
        <v>0</v>
      </c>
      <c r="N323" s="62">
        <f t="shared" si="198"/>
        <v>0</v>
      </c>
    </row>
    <row r="324" spans="1:14" ht="24.75" hidden="1" customHeight="1" x14ac:dyDescent="0.2">
      <c r="A324" s="11" t="s">
        <v>610</v>
      </c>
      <c r="B324" s="11" t="s">
        <v>611</v>
      </c>
      <c r="C324" s="12" t="s">
        <v>46</v>
      </c>
      <c r="D324" s="13">
        <v>100</v>
      </c>
      <c r="E324" s="13">
        <f>[1]CPUs!I2824</f>
        <v>106.74677000000001</v>
      </c>
      <c r="F324" s="13">
        <v>131.97103175100003</v>
      </c>
      <c r="G324" s="13">
        <f t="shared" si="199"/>
        <v>13197.103175100003</v>
      </c>
      <c r="H324" s="13">
        <v>0</v>
      </c>
      <c r="I324" s="13">
        <v>0</v>
      </c>
      <c r="J324" s="13">
        <f t="shared" si="194"/>
        <v>0</v>
      </c>
      <c r="K324" s="13">
        <f t="shared" si="195"/>
        <v>0</v>
      </c>
      <c r="L324" s="13">
        <f t="shared" si="196"/>
        <v>0</v>
      </c>
      <c r="M324" s="13">
        <f t="shared" si="197"/>
        <v>0</v>
      </c>
      <c r="N324" s="62">
        <f t="shared" si="198"/>
        <v>0</v>
      </c>
    </row>
    <row r="325" spans="1:14" ht="24.75" hidden="1" customHeight="1" x14ac:dyDescent="0.2">
      <c r="A325" s="16" t="s">
        <v>612</v>
      </c>
      <c r="B325" s="16" t="s">
        <v>613</v>
      </c>
      <c r="C325" s="16"/>
      <c r="D325" s="20"/>
      <c r="E325" s="19"/>
      <c r="F325" s="19"/>
      <c r="G325" s="20">
        <f>SUM(G326:G339)</f>
        <v>173714.43913763418</v>
      </c>
      <c r="H325" s="20"/>
      <c r="I325" s="19"/>
      <c r="J325" s="20"/>
      <c r="K325" s="20">
        <f t="shared" ref="K325:L325" si="200">SUM(K326:K339)</f>
        <v>0</v>
      </c>
      <c r="L325" s="20">
        <f t="shared" si="200"/>
        <v>0</v>
      </c>
      <c r="M325" s="20">
        <f>SUM(M326:M339)</f>
        <v>0</v>
      </c>
      <c r="N325" s="61">
        <f t="shared" si="198"/>
        <v>0</v>
      </c>
    </row>
    <row r="326" spans="1:14" ht="24.75" hidden="1" customHeight="1" x14ac:dyDescent="0.2">
      <c r="A326" s="11" t="s">
        <v>614</v>
      </c>
      <c r="B326" s="11" t="s">
        <v>615</v>
      </c>
      <c r="C326" s="12" t="s">
        <v>46</v>
      </c>
      <c r="D326" s="13">
        <v>12.9</v>
      </c>
      <c r="E326" s="13">
        <f>[1]CPUs!I2832</f>
        <v>77.61</v>
      </c>
      <c r="F326" s="13">
        <v>95.94</v>
      </c>
      <c r="G326" s="13">
        <f>(F326*D326)</f>
        <v>1237.626</v>
      </c>
      <c r="H326" s="13">
        <v>0</v>
      </c>
      <c r="I326" s="13">
        <v>0</v>
      </c>
      <c r="J326" s="13">
        <f t="shared" ref="J326:J339" si="201">H326+I326</f>
        <v>0</v>
      </c>
      <c r="K326" s="13">
        <f t="shared" ref="K326:K339" si="202">H326*F326</f>
        <v>0</v>
      </c>
      <c r="L326" s="13">
        <f t="shared" ref="L326:L339" si="203">I326*F326</f>
        <v>0</v>
      </c>
      <c r="M326" s="13">
        <f t="shared" ref="M326:M339" si="204">J326*F326</f>
        <v>0</v>
      </c>
      <c r="N326" s="62">
        <f t="shared" ref="N326:N340" si="205">M326/G326</f>
        <v>0</v>
      </c>
    </row>
    <row r="327" spans="1:14" ht="24.75" hidden="1" customHeight="1" x14ac:dyDescent="0.2">
      <c r="A327" s="11" t="s">
        <v>616</v>
      </c>
      <c r="B327" s="11" t="s">
        <v>617</v>
      </c>
      <c r="C327" s="12" t="s">
        <v>46</v>
      </c>
      <c r="D327" s="13">
        <v>15.4</v>
      </c>
      <c r="E327" s="13">
        <f>[1]CPUs!I2840</f>
        <v>38.29</v>
      </c>
      <c r="F327" s="13">
        <v>47.33</v>
      </c>
      <c r="G327" s="13">
        <f t="shared" ref="G327:G339" si="206">D327*F327</f>
        <v>728.88199999999995</v>
      </c>
      <c r="H327" s="13">
        <v>0</v>
      </c>
      <c r="I327" s="13">
        <v>0</v>
      </c>
      <c r="J327" s="13">
        <f t="shared" si="201"/>
        <v>0</v>
      </c>
      <c r="K327" s="13">
        <f t="shared" si="202"/>
        <v>0</v>
      </c>
      <c r="L327" s="13">
        <f t="shared" si="203"/>
        <v>0</v>
      </c>
      <c r="M327" s="13">
        <f t="shared" si="204"/>
        <v>0</v>
      </c>
      <c r="N327" s="62">
        <f t="shared" si="205"/>
        <v>0</v>
      </c>
    </row>
    <row r="328" spans="1:14" ht="24.75" hidden="1" customHeight="1" x14ac:dyDescent="0.2">
      <c r="A328" s="11" t="s">
        <v>618</v>
      </c>
      <c r="B328" s="11" t="s">
        <v>619</v>
      </c>
      <c r="C328" s="12" t="s">
        <v>46</v>
      </c>
      <c r="D328" s="13">
        <v>19.5</v>
      </c>
      <c r="E328" s="13">
        <f>[1]CPUs!I2848</f>
        <v>58.06</v>
      </c>
      <c r="F328" s="13">
        <v>71.77</v>
      </c>
      <c r="G328" s="13">
        <f>(F328*D328)</f>
        <v>1399.5149999999999</v>
      </c>
      <c r="H328" s="13">
        <v>0</v>
      </c>
      <c r="I328" s="13">
        <v>0</v>
      </c>
      <c r="J328" s="13">
        <f t="shared" si="201"/>
        <v>0</v>
      </c>
      <c r="K328" s="13">
        <f t="shared" si="202"/>
        <v>0</v>
      </c>
      <c r="L328" s="13">
        <f t="shared" si="203"/>
        <v>0</v>
      </c>
      <c r="M328" s="13">
        <f t="shared" si="204"/>
        <v>0</v>
      </c>
      <c r="N328" s="62">
        <f t="shared" si="205"/>
        <v>0</v>
      </c>
    </row>
    <row r="329" spans="1:14" ht="24.75" hidden="1" customHeight="1" x14ac:dyDescent="0.2">
      <c r="A329" s="11" t="s">
        <v>620</v>
      </c>
      <c r="B329" s="11" t="s">
        <v>621</v>
      </c>
      <c r="C329" s="12" t="s">
        <v>46</v>
      </c>
      <c r="D329" s="13">
        <v>13.8</v>
      </c>
      <c r="E329" s="13">
        <f>[1]CPUs!I2856</f>
        <v>77.61</v>
      </c>
      <c r="F329" s="13">
        <v>95.94</v>
      </c>
      <c r="G329" s="13">
        <f t="shared" si="206"/>
        <v>1323.972</v>
      </c>
      <c r="H329" s="13">
        <v>0</v>
      </c>
      <c r="I329" s="13">
        <v>0</v>
      </c>
      <c r="J329" s="13">
        <f t="shared" si="201"/>
        <v>0</v>
      </c>
      <c r="K329" s="13">
        <f t="shared" si="202"/>
        <v>0</v>
      </c>
      <c r="L329" s="13">
        <f t="shared" si="203"/>
        <v>0</v>
      </c>
      <c r="M329" s="13">
        <f t="shared" si="204"/>
        <v>0</v>
      </c>
      <c r="N329" s="62">
        <f t="shared" si="205"/>
        <v>0</v>
      </c>
    </row>
    <row r="330" spans="1:14" ht="24.75" hidden="1" customHeight="1" x14ac:dyDescent="0.2">
      <c r="A330" s="11" t="s">
        <v>622</v>
      </c>
      <c r="B330" s="11" t="s">
        <v>623</v>
      </c>
      <c r="C330" s="12" t="s">
        <v>46</v>
      </c>
      <c r="D330" s="13">
        <v>78.3</v>
      </c>
      <c r="E330" s="13">
        <f>[1]CPUs!I2864</f>
        <v>53.175640000000001</v>
      </c>
      <c r="F330" s="13">
        <v>65.741043732000009</v>
      </c>
      <c r="G330" s="13">
        <f t="shared" si="206"/>
        <v>5147.5237242156009</v>
      </c>
      <c r="H330" s="13">
        <v>0</v>
      </c>
      <c r="I330" s="13">
        <v>0</v>
      </c>
      <c r="J330" s="13">
        <f t="shared" si="201"/>
        <v>0</v>
      </c>
      <c r="K330" s="13">
        <f t="shared" si="202"/>
        <v>0</v>
      </c>
      <c r="L330" s="13">
        <f t="shared" si="203"/>
        <v>0</v>
      </c>
      <c r="M330" s="13">
        <f t="shared" si="204"/>
        <v>0</v>
      </c>
      <c r="N330" s="62">
        <f t="shared" si="205"/>
        <v>0</v>
      </c>
    </row>
    <row r="331" spans="1:14" ht="24.75" hidden="1" customHeight="1" x14ac:dyDescent="0.2">
      <c r="A331" s="11" t="s">
        <v>624</v>
      </c>
      <c r="B331" s="11" t="s">
        <v>625</v>
      </c>
      <c r="C331" s="12" t="s">
        <v>46</v>
      </c>
      <c r="D331" s="13">
        <v>17.600000000000001</v>
      </c>
      <c r="E331" s="13">
        <f>[1]CPUs!I2872</f>
        <v>97.66</v>
      </c>
      <c r="F331" s="13">
        <v>120.73</v>
      </c>
      <c r="G331" s="13">
        <f>(F331*D331)</f>
        <v>2124.8480000000004</v>
      </c>
      <c r="H331" s="13">
        <v>0</v>
      </c>
      <c r="I331" s="13">
        <v>0</v>
      </c>
      <c r="J331" s="13">
        <f t="shared" si="201"/>
        <v>0</v>
      </c>
      <c r="K331" s="13">
        <f t="shared" si="202"/>
        <v>0</v>
      </c>
      <c r="L331" s="13">
        <f t="shared" si="203"/>
        <v>0</v>
      </c>
      <c r="M331" s="13">
        <f t="shared" si="204"/>
        <v>0</v>
      </c>
      <c r="N331" s="62">
        <f t="shared" si="205"/>
        <v>0</v>
      </c>
    </row>
    <row r="332" spans="1:14" ht="24.75" hidden="1" customHeight="1" x14ac:dyDescent="0.2">
      <c r="A332" s="11" t="s">
        <v>626</v>
      </c>
      <c r="B332" s="11" t="s">
        <v>627</v>
      </c>
      <c r="C332" s="12" t="s">
        <v>46</v>
      </c>
      <c r="D332" s="13">
        <v>10.3</v>
      </c>
      <c r="E332" s="13">
        <f>[1]CPUs!I2880</f>
        <v>116.66</v>
      </c>
      <c r="F332" s="13">
        <v>144.22</v>
      </c>
      <c r="G332" s="13">
        <f>(F332*D332)</f>
        <v>1485.4660000000001</v>
      </c>
      <c r="H332" s="13">
        <v>0</v>
      </c>
      <c r="I332" s="13">
        <v>0</v>
      </c>
      <c r="J332" s="13">
        <f t="shared" si="201"/>
        <v>0</v>
      </c>
      <c r="K332" s="13">
        <f t="shared" si="202"/>
        <v>0</v>
      </c>
      <c r="L332" s="13">
        <f t="shared" si="203"/>
        <v>0</v>
      </c>
      <c r="M332" s="13">
        <f t="shared" si="204"/>
        <v>0</v>
      </c>
      <c r="N332" s="62">
        <f t="shared" si="205"/>
        <v>0</v>
      </c>
    </row>
    <row r="333" spans="1:14" ht="24.75" hidden="1" customHeight="1" x14ac:dyDescent="0.2">
      <c r="A333" s="11" t="s">
        <v>628</v>
      </c>
      <c r="B333" s="11" t="s">
        <v>629</v>
      </c>
      <c r="C333" s="12" t="s">
        <v>46</v>
      </c>
      <c r="D333" s="13">
        <v>11.8</v>
      </c>
      <c r="E333" s="13">
        <f>[1]CPUs!I2888</f>
        <v>86.1</v>
      </c>
      <c r="F333" s="13">
        <v>106.44</v>
      </c>
      <c r="G333" s="13">
        <f t="shared" si="206"/>
        <v>1255.992</v>
      </c>
      <c r="H333" s="13">
        <v>0</v>
      </c>
      <c r="I333" s="13">
        <v>0</v>
      </c>
      <c r="J333" s="13">
        <f t="shared" si="201"/>
        <v>0</v>
      </c>
      <c r="K333" s="13">
        <f t="shared" si="202"/>
        <v>0</v>
      </c>
      <c r="L333" s="13">
        <f t="shared" si="203"/>
        <v>0</v>
      </c>
      <c r="M333" s="13">
        <f t="shared" si="204"/>
        <v>0</v>
      </c>
      <c r="N333" s="62">
        <f t="shared" si="205"/>
        <v>0</v>
      </c>
    </row>
    <row r="334" spans="1:14" ht="24.75" hidden="1" customHeight="1" x14ac:dyDescent="0.2">
      <c r="A334" s="11" t="s">
        <v>630</v>
      </c>
      <c r="B334" s="11" t="s">
        <v>631</v>
      </c>
      <c r="C334" s="12" t="s">
        <v>46</v>
      </c>
      <c r="D334" s="13">
        <v>84.8</v>
      </c>
      <c r="E334" s="13">
        <f>[1]CPUs!I2896</f>
        <v>118.35817999999999</v>
      </c>
      <c r="F334" s="13">
        <v>146.326217934</v>
      </c>
      <c r="G334" s="13">
        <f t="shared" si="206"/>
        <v>12408.4632808032</v>
      </c>
      <c r="H334" s="13">
        <v>0</v>
      </c>
      <c r="I334" s="13">
        <v>0</v>
      </c>
      <c r="J334" s="13">
        <f t="shared" si="201"/>
        <v>0</v>
      </c>
      <c r="K334" s="13">
        <f t="shared" si="202"/>
        <v>0</v>
      </c>
      <c r="L334" s="13">
        <f t="shared" si="203"/>
        <v>0</v>
      </c>
      <c r="M334" s="13">
        <f t="shared" si="204"/>
        <v>0</v>
      </c>
      <c r="N334" s="62">
        <f t="shared" si="205"/>
        <v>0</v>
      </c>
    </row>
    <row r="335" spans="1:14" ht="24.75" hidden="1" customHeight="1" x14ac:dyDescent="0.2">
      <c r="A335" s="11" t="s">
        <v>632</v>
      </c>
      <c r="B335" s="11" t="s">
        <v>633</v>
      </c>
      <c r="C335" s="12" t="s">
        <v>46</v>
      </c>
      <c r="D335" s="13">
        <v>58.5</v>
      </c>
      <c r="E335" s="13">
        <f>[1]CPUs!I2904</f>
        <v>42.957740000000001</v>
      </c>
      <c r="F335" s="13">
        <v>53.108653962000005</v>
      </c>
      <c r="G335" s="13">
        <f>(F335*D335)</f>
        <v>3106.8562567770005</v>
      </c>
      <c r="H335" s="13">
        <v>0</v>
      </c>
      <c r="I335" s="13">
        <v>0</v>
      </c>
      <c r="J335" s="13">
        <f t="shared" si="201"/>
        <v>0</v>
      </c>
      <c r="K335" s="13">
        <f t="shared" si="202"/>
        <v>0</v>
      </c>
      <c r="L335" s="13">
        <f t="shared" si="203"/>
        <v>0</v>
      </c>
      <c r="M335" s="13">
        <f t="shared" si="204"/>
        <v>0</v>
      </c>
      <c r="N335" s="62">
        <f t="shared" si="205"/>
        <v>0</v>
      </c>
    </row>
    <row r="336" spans="1:14" ht="24.75" hidden="1" customHeight="1" x14ac:dyDescent="0.2">
      <c r="A336" s="11" t="s">
        <v>634</v>
      </c>
      <c r="B336" s="11" t="s">
        <v>635</v>
      </c>
      <c r="C336" s="12" t="s">
        <v>46</v>
      </c>
      <c r="D336" s="13">
        <v>38</v>
      </c>
      <c r="E336" s="13">
        <f>[1]CPUs!I2912</f>
        <v>49.756839999999997</v>
      </c>
      <c r="F336" s="13">
        <v>61.514381291999996</v>
      </c>
      <c r="G336" s="13">
        <f>(F336*D336)</f>
        <v>2337.5464890959997</v>
      </c>
      <c r="H336" s="13">
        <v>0</v>
      </c>
      <c r="I336" s="13">
        <v>0</v>
      </c>
      <c r="J336" s="13">
        <f t="shared" si="201"/>
        <v>0</v>
      </c>
      <c r="K336" s="13">
        <f t="shared" si="202"/>
        <v>0</v>
      </c>
      <c r="L336" s="13">
        <f t="shared" si="203"/>
        <v>0</v>
      </c>
      <c r="M336" s="13">
        <f t="shared" si="204"/>
        <v>0</v>
      </c>
      <c r="N336" s="62">
        <f t="shared" si="205"/>
        <v>0</v>
      </c>
    </row>
    <row r="337" spans="1:14" ht="24.75" hidden="1" customHeight="1" x14ac:dyDescent="0.2">
      <c r="A337" s="11" t="s">
        <v>636</v>
      </c>
      <c r="B337" s="11" t="s">
        <v>637</v>
      </c>
      <c r="C337" s="12" t="s">
        <v>46</v>
      </c>
      <c r="D337" s="13">
        <v>2669.7</v>
      </c>
      <c r="E337" s="13">
        <f>[1]CPUs!I2920</f>
        <v>39.515839999999997</v>
      </c>
      <c r="F337" s="13">
        <v>48.853432991999995</v>
      </c>
      <c r="G337" s="13">
        <f t="shared" si="206"/>
        <v>130424.01005874238</v>
      </c>
      <c r="H337" s="13">
        <v>0</v>
      </c>
      <c r="I337" s="13">
        <v>0</v>
      </c>
      <c r="J337" s="13">
        <f t="shared" si="201"/>
        <v>0</v>
      </c>
      <c r="K337" s="13">
        <f t="shared" si="202"/>
        <v>0</v>
      </c>
      <c r="L337" s="13">
        <f t="shared" si="203"/>
        <v>0</v>
      </c>
      <c r="M337" s="13">
        <f t="shared" si="204"/>
        <v>0</v>
      </c>
      <c r="N337" s="62">
        <f t="shared" si="205"/>
        <v>0</v>
      </c>
    </row>
    <row r="338" spans="1:14" ht="24.75" hidden="1" customHeight="1" x14ac:dyDescent="0.2">
      <c r="A338" s="11" t="s">
        <v>638</v>
      </c>
      <c r="B338" s="11" t="s">
        <v>639</v>
      </c>
      <c r="C338" s="12" t="s">
        <v>46</v>
      </c>
      <c r="D338" s="13">
        <v>350</v>
      </c>
      <c r="E338" s="13">
        <f>[1]CPUs!I2928</f>
        <v>21.201599999999999</v>
      </c>
      <c r="F338" s="13">
        <v>26.21153808</v>
      </c>
      <c r="G338" s="13">
        <f>(F338*D338)</f>
        <v>9174.0383280000005</v>
      </c>
      <c r="H338" s="13">
        <v>0</v>
      </c>
      <c r="I338" s="13">
        <v>0</v>
      </c>
      <c r="J338" s="13">
        <f t="shared" si="201"/>
        <v>0</v>
      </c>
      <c r="K338" s="13">
        <f t="shared" si="202"/>
        <v>0</v>
      </c>
      <c r="L338" s="13">
        <f t="shared" si="203"/>
        <v>0</v>
      </c>
      <c r="M338" s="13">
        <f t="shared" si="204"/>
        <v>0</v>
      </c>
      <c r="N338" s="62">
        <f t="shared" si="205"/>
        <v>0</v>
      </c>
    </row>
    <row r="339" spans="1:14" ht="24.75" hidden="1" customHeight="1" x14ac:dyDescent="0.2">
      <c r="A339" s="11" t="s">
        <v>640</v>
      </c>
      <c r="B339" s="11" t="s">
        <v>641</v>
      </c>
      <c r="C339" s="12" t="s">
        <v>46</v>
      </c>
      <c r="D339" s="13">
        <v>45</v>
      </c>
      <c r="E339" s="13">
        <f>[1]CPUs!I2936</f>
        <v>28.04</v>
      </c>
      <c r="F339" s="13">
        <v>34.659999999999997</v>
      </c>
      <c r="G339" s="13">
        <f t="shared" si="206"/>
        <v>1559.6999999999998</v>
      </c>
      <c r="H339" s="13">
        <v>0</v>
      </c>
      <c r="I339" s="13">
        <v>0</v>
      </c>
      <c r="J339" s="13">
        <f t="shared" si="201"/>
        <v>0</v>
      </c>
      <c r="K339" s="13">
        <f t="shared" si="202"/>
        <v>0</v>
      </c>
      <c r="L339" s="13">
        <f t="shared" si="203"/>
        <v>0</v>
      </c>
      <c r="M339" s="13">
        <f t="shared" si="204"/>
        <v>0</v>
      </c>
      <c r="N339" s="62">
        <f t="shared" si="205"/>
        <v>0</v>
      </c>
    </row>
    <row r="340" spans="1:14" ht="24.75" hidden="1" customHeight="1" x14ac:dyDescent="0.2">
      <c r="A340" s="16" t="s">
        <v>642</v>
      </c>
      <c r="B340" s="16" t="s">
        <v>643</v>
      </c>
      <c r="C340" s="16"/>
      <c r="D340" s="20"/>
      <c r="E340" s="19"/>
      <c r="F340" s="19"/>
      <c r="G340" s="20">
        <f t="shared" ref="G340" si="207">SUM(G341:G344)</f>
        <v>611907.29</v>
      </c>
      <c r="H340" s="20"/>
      <c r="I340" s="19"/>
      <c r="J340" s="20"/>
      <c r="K340" s="20">
        <f t="shared" ref="K340:L340" si="208">SUM(K341:K344)</f>
        <v>0</v>
      </c>
      <c r="L340" s="20">
        <f t="shared" si="208"/>
        <v>0</v>
      </c>
      <c r="M340" s="20">
        <f>SUM(M341:M344)</f>
        <v>0</v>
      </c>
      <c r="N340" s="61">
        <f t="shared" si="205"/>
        <v>0</v>
      </c>
    </row>
    <row r="341" spans="1:14" ht="24.75" hidden="1" customHeight="1" x14ac:dyDescent="0.2">
      <c r="A341" s="11" t="s">
        <v>644</v>
      </c>
      <c r="B341" s="11" t="s">
        <v>645</v>
      </c>
      <c r="C341" s="12" t="s">
        <v>28</v>
      </c>
      <c r="D341" s="13">
        <v>1</v>
      </c>
      <c r="E341" s="13">
        <f>[1]CPUs!I2943</f>
        <v>156391.79679999998</v>
      </c>
      <c r="F341" s="13">
        <v>180929.67</v>
      </c>
      <c r="G341" s="13">
        <f>D341*F341</f>
        <v>180929.67</v>
      </c>
      <c r="H341" s="13">
        <v>0</v>
      </c>
      <c r="I341" s="13">
        <v>0</v>
      </c>
      <c r="J341" s="13">
        <f>H341+I341</f>
        <v>0</v>
      </c>
      <c r="K341" s="13">
        <f>H341*F341</f>
        <v>0</v>
      </c>
      <c r="L341" s="13">
        <f>I341*F341</f>
        <v>0</v>
      </c>
      <c r="M341" s="13">
        <f>J341*F341</f>
        <v>0</v>
      </c>
      <c r="N341" s="62">
        <f t="shared" ref="N341:N345" si="209">M341/G341</f>
        <v>0</v>
      </c>
    </row>
    <row r="342" spans="1:14" ht="24.75" hidden="1" customHeight="1" x14ac:dyDescent="0.2">
      <c r="A342" s="11" t="s">
        <v>646</v>
      </c>
      <c r="B342" s="11" t="s">
        <v>647</v>
      </c>
      <c r="C342" s="12" t="s">
        <v>28</v>
      </c>
      <c r="D342" s="13">
        <v>1</v>
      </c>
      <c r="E342" s="13">
        <f>[1]CPUs!I2949</f>
        <v>54741.196399999993</v>
      </c>
      <c r="F342" s="13">
        <v>63330.09</v>
      </c>
      <c r="G342" s="13">
        <f t="shared" ref="G342:G344" si="210">D342*F342</f>
        <v>63330.09</v>
      </c>
      <c r="H342" s="13">
        <v>0</v>
      </c>
      <c r="I342" s="13">
        <v>0</v>
      </c>
      <c r="J342" s="13">
        <f>H342+I342</f>
        <v>0</v>
      </c>
      <c r="K342" s="13">
        <f>H342*F342</f>
        <v>0</v>
      </c>
      <c r="L342" s="13">
        <f>I342*F342</f>
        <v>0</v>
      </c>
      <c r="M342" s="13">
        <f>J342*F342</f>
        <v>0</v>
      </c>
      <c r="N342" s="62">
        <f t="shared" si="209"/>
        <v>0</v>
      </c>
    </row>
    <row r="343" spans="1:14" ht="24.75" hidden="1" customHeight="1" x14ac:dyDescent="0.2">
      <c r="A343" s="11" t="s">
        <v>648</v>
      </c>
      <c r="B343" s="11" t="s">
        <v>649</v>
      </c>
      <c r="C343" s="12" t="s">
        <v>28</v>
      </c>
      <c r="D343" s="13">
        <v>1</v>
      </c>
      <c r="E343" s="13">
        <f>[1]CPUs!I2955</f>
        <v>8674.9599999999991</v>
      </c>
      <c r="F343" s="13">
        <v>10724.85</v>
      </c>
      <c r="G343" s="13">
        <f t="shared" si="210"/>
        <v>10724.85</v>
      </c>
      <c r="H343" s="13">
        <v>0</v>
      </c>
      <c r="I343" s="13">
        <v>0</v>
      </c>
      <c r="J343" s="13">
        <f>H343+I343</f>
        <v>0</v>
      </c>
      <c r="K343" s="13">
        <f>H343*F343</f>
        <v>0</v>
      </c>
      <c r="L343" s="13">
        <f>I343*F343</f>
        <v>0</v>
      </c>
      <c r="M343" s="13">
        <f>J343*F343</f>
        <v>0</v>
      </c>
      <c r="N343" s="62">
        <f t="shared" si="209"/>
        <v>0</v>
      </c>
    </row>
    <row r="344" spans="1:14" ht="24.75" hidden="1" customHeight="1" x14ac:dyDescent="0.2">
      <c r="A344" s="11" t="s">
        <v>650</v>
      </c>
      <c r="B344" s="11" t="s">
        <v>651</v>
      </c>
      <c r="C344" s="12" t="s">
        <v>28</v>
      </c>
      <c r="D344" s="13">
        <v>2</v>
      </c>
      <c r="E344" s="13">
        <f>[1]CPUs!I2962</f>
        <v>154258.226</v>
      </c>
      <c r="F344" s="13">
        <v>178461.34</v>
      </c>
      <c r="G344" s="13">
        <f t="shared" si="210"/>
        <v>356922.68</v>
      </c>
      <c r="H344" s="13">
        <v>0</v>
      </c>
      <c r="I344" s="13">
        <v>0</v>
      </c>
      <c r="J344" s="13">
        <f>H344+I344</f>
        <v>0</v>
      </c>
      <c r="K344" s="13">
        <f>H344*F344</f>
        <v>0</v>
      </c>
      <c r="L344" s="13">
        <f>I344*F344</f>
        <v>0</v>
      </c>
      <c r="M344" s="13">
        <f>J344*F344</f>
        <v>0</v>
      </c>
      <c r="N344" s="62">
        <f t="shared" si="209"/>
        <v>0</v>
      </c>
    </row>
    <row r="345" spans="1:14" ht="24.75" hidden="1" customHeight="1" x14ac:dyDescent="0.2">
      <c r="A345" s="16" t="s">
        <v>652</v>
      </c>
      <c r="B345" s="16" t="s">
        <v>653</v>
      </c>
      <c r="C345" s="16"/>
      <c r="D345" s="20"/>
      <c r="E345" s="19"/>
      <c r="F345" s="19"/>
      <c r="G345" s="20">
        <f t="shared" ref="G345" si="211">SUM(G346:G364)</f>
        <v>177281.32664636854</v>
      </c>
      <c r="H345" s="20"/>
      <c r="I345" s="19"/>
      <c r="J345" s="20"/>
      <c r="K345" s="20">
        <f t="shared" ref="K345:L345" si="212">SUM(K346:K364)</f>
        <v>0</v>
      </c>
      <c r="L345" s="20">
        <f t="shared" si="212"/>
        <v>0</v>
      </c>
      <c r="M345" s="20">
        <f>SUM(M346:M364)</f>
        <v>0</v>
      </c>
      <c r="N345" s="61">
        <f t="shared" si="209"/>
        <v>0</v>
      </c>
    </row>
    <row r="346" spans="1:14" ht="24.75" hidden="1" customHeight="1" x14ac:dyDescent="0.2">
      <c r="A346" s="11" t="s">
        <v>654</v>
      </c>
      <c r="B346" s="11" t="s">
        <v>655</v>
      </c>
      <c r="C346" s="12" t="s">
        <v>46</v>
      </c>
      <c r="D346" s="13">
        <v>210.14</v>
      </c>
      <c r="E346" s="13">
        <f>[1]CPUs!I2976</f>
        <v>79.788006999999993</v>
      </c>
      <c r="F346" s="13">
        <v>98.641913054099987</v>
      </c>
      <c r="G346" s="13">
        <f>D346*F346</f>
        <v>20728.611609188571</v>
      </c>
      <c r="H346" s="13">
        <v>0</v>
      </c>
      <c r="I346" s="13">
        <v>0</v>
      </c>
      <c r="J346" s="13">
        <f t="shared" ref="J346:J364" si="213">H346+I346</f>
        <v>0</v>
      </c>
      <c r="K346" s="13">
        <f t="shared" ref="K346:K364" si="214">H346*F346</f>
        <v>0</v>
      </c>
      <c r="L346" s="13">
        <f t="shared" ref="L346:L364" si="215">I346*F346</f>
        <v>0</v>
      </c>
      <c r="M346" s="13">
        <f t="shared" ref="M346:M364" si="216">J346*F346</f>
        <v>0</v>
      </c>
      <c r="N346" s="62">
        <f t="shared" ref="N346:N365" si="217">M346/G346</f>
        <v>0</v>
      </c>
    </row>
    <row r="347" spans="1:14" ht="24.75" hidden="1" customHeight="1" x14ac:dyDescent="0.2">
      <c r="A347" s="11" t="s">
        <v>656</v>
      </c>
      <c r="B347" s="11" t="s">
        <v>657</v>
      </c>
      <c r="C347" s="12" t="s">
        <v>28</v>
      </c>
      <c r="D347" s="13">
        <v>39</v>
      </c>
      <c r="E347" s="13">
        <f>[1]CPUs!I2984</f>
        <v>117.78</v>
      </c>
      <c r="F347" s="13">
        <v>145.61000000000001</v>
      </c>
      <c r="G347" s="13">
        <f t="shared" ref="G347:G364" si="218">D347*F347</f>
        <v>5678.7900000000009</v>
      </c>
      <c r="H347" s="13">
        <v>0</v>
      </c>
      <c r="I347" s="13">
        <v>0</v>
      </c>
      <c r="J347" s="13">
        <f t="shared" si="213"/>
        <v>0</v>
      </c>
      <c r="K347" s="13">
        <f t="shared" si="214"/>
        <v>0</v>
      </c>
      <c r="L347" s="13">
        <f t="shared" si="215"/>
        <v>0</v>
      </c>
      <c r="M347" s="13">
        <f t="shared" si="216"/>
        <v>0</v>
      </c>
      <c r="N347" s="62">
        <f t="shared" si="217"/>
        <v>0</v>
      </c>
    </row>
    <row r="348" spans="1:14" ht="24.75" hidden="1" customHeight="1" x14ac:dyDescent="0.2">
      <c r="A348" s="11" t="s">
        <v>658</v>
      </c>
      <c r="B348" s="11" t="s">
        <v>659</v>
      </c>
      <c r="C348" s="12" t="s">
        <v>28</v>
      </c>
      <c r="D348" s="13">
        <v>9</v>
      </c>
      <c r="E348" s="13">
        <f>[1]CPUs!I2994</f>
        <v>157.97999999999999</v>
      </c>
      <c r="F348" s="13">
        <v>195.31</v>
      </c>
      <c r="G348" s="13">
        <f t="shared" si="218"/>
        <v>1757.79</v>
      </c>
      <c r="H348" s="13">
        <v>0</v>
      </c>
      <c r="I348" s="13">
        <v>0</v>
      </c>
      <c r="J348" s="13">
        <f t="shared" si="213"/>
        <v>0</v>
      </c>
      <c r="K348" s="13">
        <f t="shared" si="214"/>
        <v>0</v>
      </c>
      <c r="L348" s="13">
        <f t="shared" si="215"/>
        <v>0</v>
      </c>
      <c r="M348" s="13">
        <f t="shared" si="216"/>
        <v>0</v>
      </c>
      <c r="N348" s="62">
        <f t="shared" si="217"/>
        <v>0</v>
      </c>
    </row>
    <row r="349" spans="1:14" ht="24.75" hidden="1" customHeight="1" x14ac:dyDescent="0.2">
      <c r="A349" s="11" t="s">
        <v>660</v>
      </c>
      <c r="B349" s="11" t="s">
        <v>661</v>
      </c>
      <c r="C349" s="12" t="s">
        <v>28</v>
      </c>
      <c r="D349" s="13">
        <v>11</v>
      </c>
      <c r="E349" s="13">
        <f>[1]CPUs!I3004</f>
        <v>1680.7386000000001</v>
      </c>
      <c r="F349" s="13">
        <v>2077.8971311800001</v>
      </c>
      <c r="G349" s="13">
        <f>(F349*D349)</f>
        <v>22856.868442980001</v>
      </c>
      <c r="H349" s="13">
        <v>0</v>
      </c>
      <c r="I349" s="13">
        <v>0</v>
      </c>
      <c r="J349" s="13">
        <f t="shared" si="213"/>
        <v>0</v>
      </c>
      <c r="K349" s="13">
        <f t="shared" si="214"/>
        <v>0</v>
      </c>
      <c r="L349" s="13">
        <f t="shared" si="215"/>
        <v>0</v>
      </c>
      <c r="M349" s="13">
        <f t="shared" si="216"/>
        <v>0</v>
      </c>
      <c r="N349" s="62">
        <f t="shared" si="217"/>
        <v>0</v>
      </c>
    </row>
    <row r="350" spans="1:14" ht="24.75" hidden="1" customHeight="1" x14ac:dyDescent="0.2">
      <c r="A350" s="11" t="s">
        <v>662</v>
      </c>
      <c r="B350" s="11" t="s">
        <v>663</v>
      </c>
      <c r="C350" s="12" t="s">
        <v>28</v>
      </c>
      <c r="D350" s="13">
        <v>1</v>
      </c>
      <c r="E350" s="13">
        <f>[1]CPUs!I3018</f>
        <v>217.65</v>
      </c>
      <c r="F350" s="13">
        <v>269.08</v>
      </c>
      <c r="G350" s="13">
        <f t="shared" si="218"/>
        <v>269.08</v>
      </c>
      <c r="H350" s="13">
        <v>0</v>
      </c>
      <c r="I350" s="13">
        <v>0</v>
      </c>
      <c r="J350" s="13">
        <f t="shared" si="213"/>
        <v>0</v>
      </c>
      <c r="K350" s="13">
        <f t="shared" si="214"/>
        <v>0</v>
      </c>
      <c r="L350" s="13">
        <f t="shared" si="215"/>
        <v>0</v>
      </c>
      <c r="M350" s="13">
        <f t="shared" si="216"/>
        <v>0</v>
      </c>
      <c r="N350" s="62">
        <f t="shared" si="217"/>
        <v>0</v>
      </c>
    </row>
    <row r="351" spans="1:14" ht="24.75" hidden="1" customHeight="1" x14ac:dyDescent="0.2">
      <c r="A351" s="11" t="s">
        <v>664</v>
      </c>
      <c r="B351" s="11" t="s">
        <v>665</v>
      </c>
      <c r="C351" s="12" t="s">
        <v>28</v>
      </c>
      <c r="D351" s="13">
        <v>1</v>
      </c>
      <c r="E351" s="13">
        <f>[1]CPUs!I3027</f>
        <v>917.04</v>
      </c>
      <c r="F351" s="13">
        <v>1133.73</v>
      </c>
      <c r="G351" s="13">
        <f t="shared" si="218"/>
        <v>1133.73</v>
      </c>
      <c r="H351" s="13">
        <v>0</v>
      </c>
      <c r="I351" s="13">
        <v>0</v>
      </c>
      <c r="J351" s="13">
        <f t="shared" si="213"/>
        <v>0</v>
      </c>
      <c r="K351" s="13">
        <f t="shared" si="214"/>
        <v>0</v>
      </c>
      <c r="L351" s="13">
        <f t="shared" si="215"/>
        <v>0</v>
      </c>
      <c r="M351" s="13">
        <f t="shared" si="216"/>
        <v>0</v>
      </c>
      <c r="N351" s="62">
        <f t="shared" si="217"/>
        <v>0</v>
      </c>
    </row>
    <row r="352" spans="1:14" ht="24.75" hidden="1" customHeight="1" x14ac:dyDescent="0.2">
      <c r="A352" s="11" t="s">
        <v>666</v>
      </c>
      <c r="B352" s="11" t="s">
        <v>667</v>
      </c>
      <c r="C352" s="12" t="s">
        <v>28</v>
      </c>
      <c r="D352" s="13">
        <v>40</v>
      </c>
      <c r="E352" s="13">
        <f>[1]CPUs!I3036</f>
        <v>234.45359999999999</v>
      </c>
      <c r="F352" s="13">
        <v>289.85498568000003</v>
      </c>
      <c r="G352" s="13">
        <f>(F352*D352)</f>
        <v>11594.199427200001</v>
      </c>
      <c r="H352" s="13">
        <v>0</v>
      </c>
      <c r="I352" s="13">
        <v>0</v>
      </c>
      <c r="J352" s="13">
        <f t="shared" si="213"/>
        <v>0</v>
      </c>
      <c r="K352" s="13">
        <f t="shared" si="214"/>
        <v>0</v>
      </c>
      <c r="L352" s="13">
        <f t="shared" si="215"/>
        <v>0</v>
      </c>
      <c r="M352" s="13">
        <f t="shared" si="216"/>
        <v>0</v>
      </c>
      <c r="N352" s="62">
        <f t="shared" si="217"/>
        <v>0</v>
      </c>
    </row>
    <row r="353" spans="1:14" ht="24.75" hidden="1" customHeight="1" x14ac:dyDescent="0.2">
      <c r="A353" s="11" t="s">
        <v>668</v>
      </c>
      <c r="B353" s="11" t="s">
        <v>669</v>
      </c>
      <c r="C353" s="12" t="s">
        <v>28</v>
      </c>
      <c r="D353" s="13">
        <v>1</v>
      </c>
      <c r="E353" s="13">
        <f>[1]CPUs!I3045</f>
        <v>4697.34</v>
      </c>
      <c r="F353" s="13">
        <v>5807.32</v>
      </c>
      <c r="G353" s="13">
        <f t="shared" si="218"/>
        <v>5807.32</v>
      </c>
      <c r="H353" s="13">
        <v>0</v>
      </c>
      <c r="I353" s="13">
        <v>0</v>
      </c>
      <c r="J353" s="13">
        <f t="shared" si="213"/>
        <v>0</v>
      </c>
      <c r="K353" s="13">
        <f t="shared" si="214"/>
        <v>0</v>
      </c>
      <c r="L353" s="13">
        <f t="shared" si="215"/>
        <v>0</v>
      </c>
      <c r="M353" s="13">
        <f t="shared" si="216"/>
        <v>0</v>
      </c>
      <c r="N353" s="62">
        <f t="shared" si="217"/>
        <v>0</v>
      </c>
    </row>
    <row r="354" spans="1:14" ht="24.75" hidden="1" customHeight="1" x14ac:dyDescent="0.2">
      <c r="A354" s="11" t="s">
        <v>670</v>
      </c>
      <c r="B354" s="11" t="s">
        <v>671</v>
      </c>
      <c r="C354" s="12" t="s">
        <v>28</v>
      </c>
      <c r="D354" s="13">
        <v>11</v>
      </c>
      <c r="E354" s="13">
        <f>[1]CPUs!I3072</f>
        <v>147.79</v>
      </c>
      <c r="F354" s="13">
        <v>182.71</v>
      </c>
      <c r="G354" s="13">
        <f t="shared" si="218"/>
        <v>2009.8100000000002</v>
      </c>
      <c r="H354" s="13">
        <v>0</v>
      </c>
      <c r="I354" s="13">
        <v>0</v>
      </c>
      <c r="J354" s="13">
        <f t="shared" si="213"/>
        <v>0</v>
      </c>
      <c r="K354" s="13">
        <f t="shared" si="214"/>
        <v>0</v>
      </c>
      <c r="L354" s="13">
        <f t="shared" si="215"/>
        <v>0</v>
      </c>
      <c r="M354" s="13">
        <f t="shared" si="216"/>
        <v>0</v>
      </c>
      <c r="N354" s="62">
        <f t="shared" si="217"/>
        <v>0</v>
      </c>
    </row>
    <row r="355" spans="1:14" ht="24.75" hidden="1" customHeight="1" x14ac:dyDescent="0.2">
      <c r="A355" s="11" t="s">
        <v>672</v>
      </c>
      <c r="B355" s="11" t="s">
        <v>673</v>
      </c>
      <c r="C355" s="12" t="s">
        <v>28</v>
      </c>
      <c r="D355" s="13">
        <v>1</v>
      </c>
      <c r="E355" s="13">
        <f>[1]CPUs!I3080</f>
        <v>763.63</v>
      </c>
      <c r="F355" s="13">
        <v>883.44</v>
      </c>
      <c r="G355" s="13">
        <f t="shared" si="218"/>
        <v>883.44</v>
      </c>
      <c r="H355" s="13">
        <v>0</v>
      </c>
      <c r="I355" s="13">
        <v>0</v>
      </c>
      <c r="J355" s="13">
        <f t="shared" si="213"/>
        <v>0</v>
      </c>
      <c r="K355" s="13">
        <f t="shared" si="214"/>
        <v>0</v>
      </c>
      <c r="L355" s="13">
        <f t="shared" si="215"/>
        <v>0</v>
      </c>
      <c r="M355" s="13">
        <f t="shared" si="216"/>
        <v>0</v>
      </c>
      <c r="N355" s="62">
        <f t="shared" si="217"/>
        <v>0</v>
      </c>
    </row>
    <row r="356" spans="1:14" ht="24.75" hidden="1" customHeight="1" x14ac:dyDescent="0.2">
      <c r="A356" s="11" t="s">
        <v>674</v>
      </c>
      <c r="B356" s="11" t="s">
        <v>675</v>
      </c>
      <c r="C356" s="12" t="s">
        <v>28</v>
      </c>
      <c r="D356" s="13">
        <v>1</v>
      </c>
      <c r="E356" s="13">
        <f>[1]CPUs!I3086</f>
        <v>3105.37</v>
      </c>
      <c r="F356" s="13">
        <v>3592.6</v>
      </c>
      <c r="G356" s="13">
        <f t="shared" si="218"/>
        <v>3592.6</v>
      </c>
      <c r="H356" s="13">
        <v>0</v>
      </c>
      <c r="I356" s="13">
        <v>0</v>
      </c>
      <c r="J356" s="13">
        <f t="shared" si="213"/>
        <v>0</v>
      </c>
      <c r="K356" s="13">
        <f t="shared" si="214"/>
        <v>0</v>
      </c>
      <c r="L356" s="13">
        <f t="shared" si="215"/>
        <v>0</v>
      </c>
      <c r="M356" s="13">
        <f t="shared" si="216"/>
        <v>0</v>
      </c>
      <c r="N356" s="62">
        <f t="shared" si="217"/>
        <v>0</v>
      </c>
    </row>
    <row r="357" spans="1:14" ht="24.75" hidden="1" customHeight="1" x14ac:dyDescent="0.2">
      <c r="A357" s="11" t="s">
        <v>676</v>
      </c>
      <c r="B357" s="11" t="s">
        <v>677</v>
      </c>
      <c r="C357" s="12" t="s">
        <v>28</v>
      </c>
      <c r="D357" s="13">
        <v>11</v>
      </c>
      <c r="E357" s="13">
        <f>[1]CPUs!I3093</f>
        <v>80.25</v>
      </c>
      <c r="F357" s="13">
        <v>99.21</v>
      </c>
      <c r="G357" s="13">
        <f t="shared" si="218"/>
        <v>1091.31</v>
      </c>
      <c r="H357" s="13">
        <v>0</v>
      </c>
      <c r="I357" s="13">
        <v>0</v>
      </c>
      <c r="J357" s="13">
        <f t="shared" si="213"/>
        <v>0</v>
      </c>
      <c r="K357" s="13">
        <f t="shared" si="214"/>
        <v>0</v>
      </c>
      <c r="L357" s="13">
        <f t="shared" si="215"/>
        <v>0</v>
      </c>
      <c r="M357" s="13">
        <f t="shared" si="216"/>
        <v>0</v>
      </c>
      <c r="N357" s="62">
        <f t="shared" si="217"/>
        <v>0</v>
      </c>
    </row>
    <row r="358" spans="1:14" ht="24.75" hidden="1" customHeight="1" x14ac:dyDescent="0.2">
      <c r="A358" s="11" t="s">
        <v>678</v>
      </c>
      <c r="B358" s="11" t="s">
        <v>679</v>
      </c>
      <c r="C358" s="12" t="s">
        <v>28</v>
      </c>
      <c r="D358" s="13">
        <v>206</v>
      </c>
      <c r="E358" s="13">
        <f>[1]CPUs!I3101</f>
        <v>109.96559999999999</v>
      </c>
      <c r="F358" s="13">
        <v>127.22</v>
      </c>
      <c r="G358" s="13">
        <f t="shared" si="218"/>
        <v>26207.32</v>
      </c>
      <c r="H358" s="13">
        <v>0</v>
      </c>
      <c r="I358" s="13">
        <v>0</v>
      </c>
      <c r="J358" s="13">
        <f t="shared" si="213"/>
        <v>0</v>
      </c>
      <c r="K358" s="13">
        <f t="shared" si="214"/>
        <v>0</v>
      </c>
      <c r="L358" s="13">
        <f t="shared" si="215"/>
        <v>0</v>
      </c>
      <c r="M358" s="13">
        <f t="shared" si="216"/>
        <v>0</v>
      </c>
      <c r="N358" s="62">
        <f t="shared" si="217"/>
        <v>0</v>
      </c>
    </row>
    <row r="359" spans="1:14" ht="24.75" hidden="1" customHeight="1" x14ac:dyDescent="0.2">
      <c r="A359" s="11" t="s">
        <v>680</v>
      </c>
      <c r="B359" s="11" t="s">
        <v>681</v>
      </c>
      <c r="C359" s="12" t="s">
        <v>28</v>
      </c>
      <c r="D359" s="13">
        <v>155</v>
      </c>
      <c r="E359" s="13">
        <f>[1]CPUs!I3108</f>
        <v>141.75799999999998</v>
      </c>
      <c r="F359" s="13">
        <v>175.25541539999998</v>
      </c>
      <c r="G359" s="13">
        <f>(F359*D359)</f>
        <v>27164.589386999996</v>
      </c>
      <c r="H359" s="13">
        <v>0</v>
      </c>
      <c r="I359" s="13">
        <v>0</v>
      </c>
      <c r="J359" s="13">
        <f t="shared" si="213"/>
        <v>0</v>
      </c>
      <c r="K359" s="13">
        <f t="shared" si="214"/>
        <v>0</v>
      </c>
      <c r="L359" s="13">
        <f t="shared" si="215"/>
        <v>0</v>
      </c>
      <c r="M359" s="13">
        <f t="shared" si="216"/>
        <v>0</v>
      </c>
      <c r="N359" s="62">
        <f t="shared" si="217"/>
        <v>0</v>
      </c>
    </row>
    <row r="360" spans="1:14" ht="24.75" hidden="1" customHeight="1" x14ac:dyDescent="0.2">
      <c r="A360" s="11" t="s">
        <v>682</v>
      </c>
      <c r="B360" s="11" t="s">
        <v>683</v>
      </c>
      <c r="C360" s="12" t="s">
        <v>28</v>
      </c>
      <c r="D360" s="13">
        <v>155</v>
      </c>
      <c r="E360" s="13">
        <f>[1]CPUs!I3116</f>
        <v>208.51999999999998</v>
      </c>
      <c r="F360" s="13">
        <v>257.79327599999999</v>
      </c>
      <c r="G360" s="13">
        <f>(F360*D360)</f>
        <v>39957.957779999997</v>
      </c>
      <c r="H360" s="13">
        <v>0</v>
      </c>
      <c r="I360" s="13">
        <v>0</v>
      </c>
      <c r="J360" s="13">
        <f t="shared" si="213"/>
        <v>0</v>
      </c>
      <c r="K360" s="13">
        <f t="shared" si="214"/>
        <v>0</v>
      </c>
      <c r="L360" s="13">
        <f t="shared" si="215"/>
        <v>0</v>
      </c>
      <c r="M360" s="13">
        <f t="shared" si="216"/>
        <v>0</v>
      </c>
      <c r="N360" s="62">
        <f t="shared" si="217"/>
        <v>0</v>
      </c>
    </row>
    <row r="361" spans="1:14" ht="24.75" hidden="1" customHeight="1" x14ac:dyDescent="0.2">
      <c r="A361" s="11" t="s">
        <v>684</v>
      </c>
      <c r="B361" s="11" t="s">
        <v>685</v>
      </c>
      <c r="C361" s="12" t="s">
        <v>28</v>
      </c>
      <c r="D361" s="13">
        <v>29</v>
      </c>
      <c r="E361" s="13">
        <f>[1]CPUs!I3124</f>
        <v>156.74</v>
      </c>
      <c r="F361" s="13">
        <v>193.77</v>
      </c>
      <c r="G361" s="13">
        <f t="shared" si="218"/>
        <v>5619.33</v>
      </c>
      <c r="H361" s="13">
        <v>0</v>
      </c>
      <c r="I361" s="13">
        <v>0</v>
      </c>
      <c r="J361" s="13">
        <f t="shared" si="213"/>
        <v>0</v>
      </c>
      <c r="K361" s="13">
        <f t="shared" si="214"/>
        <v>0</v>
      </c>
      <c r="L361" s="13">
        <f t="shared" si="215"/>
        <v>0</v>
      </c>
      <c r="M361" s="13">
        <f t="shared" si="216"/>
        <v>0</v>
      </c>
      <c r="N361" s="62">
        <f t="shared" si="217"/>
        <v>0</v>
      </c>
    </row>
    <row r="362" spans="1:14" ht="24.75" hidden="1" customHeight="1" x14ac:dyDescent="0.2">
      <c r="A362" s="11" t="s">
        <v>686</v>
      </c>
      <c r="B362" s="11" t="s">
        <v>687</v>
      </c>
      <c r="C362" s="12" t="s">
        <v>13</v>
      </c>
      <c r="D362" s="13">
        <v>1</v>
      </c>
      <c r="E362" s="13">
        <f>[1]CPUs!I3132</f>
        <v>127.93</v>
      </c>
      <c r="F362" s="13">
        <v>158.15</v>
      </c>
      <c r="G362" s="13">
        <f t="shared" si="218"/>
        <v>158.15</v>
      </c>
      <c r="H362" s="13">
        <v>0</v>
      </c>
      <c r="I362" s="13">
        <v>0</v>
      </c>
      <c r="J362" s="13">
        <f t="shared" si="213"/>
        <v>0</v>
      </c>
      <c r="K362" s="13">
        <f t="shared" si="214"/>
        <v>0</v>
      </c>
      <c r="L362" s="13">
        <f t="shared" si="215"/>
        <v>0</v>
      </c>
      <c r="M362" s="13">
        <f t="shared" si="216"/>
        <v>0</v>
      </c>
      <c r="N362" s="62">
        <f t="shared" si="217"/>
        <v>0</v>
      </c>
    </row>
    <row r="363" spans="1:14" ht="24.75" hidden="1" customHeight="1" x14ac:dyDescent="0.2">
      <c r="A363" s="11" t="s">
        <v>688</v>
      </c>
      <c r="B363" s="11" t="s">
        <v>689</v>
      </c>
      <c r="C363" s="12" t="s">
        <v>13</v>
      </c>
      <c r="D363" s="13">
        <v>206</v>
      </c>
      <c r="E363" s="13">
        <f>[1]CPUs!I3139</f>
        <v>2.97</v>
      </c>
      <c r="F363" s="13">
        <v>3.67</v>
      </c>
      <c r="G363" s="13">
        <f t="shared" si="218"/>
        <v>756.02</v>
      </c>
      <c r="H363" s="13">
        <v>0</v>
      </c>
      <c r="I363" s="13">
        <v>0</v>
      </c>
      <c r="J363" s="13">
        <f t="shared" si="213"/>
        <v>0</v>
      </c>
      <c r="K363" s="13">
        <f t="shared" si="214"/>
        <v>0</v>
      </c>
      <c r="L363" s="13">
        <f t="shared" si="215"/>
        <v>0</v>
      </c>
      <c r="M363" s="13">
        <f t="shared" si="216"/>
        <v>0</v>
      </c>
      <c r="N363" s="62">
        <f t="shared" si="217"/>
        <v>0</v>
      </c>
    </row>
    <row r="364" spans="1:14" ht="24.75" hidden="1" customHeight="1" x14ac:dyDescent="0.2">
      <c r="A364" s="11" t="s">
        <v>690</v>
      </c>
      <c r="B364" s="11" t="s">
        <v>691</v>
      </c>
      <c r="C364" s="12" t="s">
        <v>28</v>
      </c>
      <c r="D364" s="13">
        <v>1</v>
      </c>
      <c r="E364" s="13">
        <f>[1]CPUs!I3146</f>
        <v>11.66</v>
      </c>
      <c r="F364" s="13">
        <v>14.41</v>
      </c>
      <c r="G364" s="13">
        <f t="shared" si="218"/>
        <v>14.41</v>
      </c>
      <c r="H364" s="13">
        <v>0</v>
      </c>
      <c r="I364" s="13">
        <v>0</v>
      </c>
      <c r="J364" s="13">
        <f t="shared" si="213"/>
        <v>0</v>
      </c>
      <c r="K364" s="13">
        <f t="shared" si="214"/>
        <v>0</v>
      </c>
      <c r="L364" s="13">
        <f t="shared" si="215"/>
        <v>0</v>
      </c>
      <c r="M364" s="13">
        <f t="shared" si="216"/>
        <v>0</v>
      </c>
      <c r="N364" s="62">
        <f t="shared" si="217"/>
        <v>0</v>
      </c>
    </row>
    <row r="365" spans="1:14" ht="24.75" hidden="1" customHeight="1" x14ac:dyDescent="0.2">
      <c r="A365" s="16" t="s">
        <v>692</v>
      </c>
      <c r="B365" s="16" t="s">
        <v>693</v>
      </c>
      <c r="C365" s="16"/>
      <c r="D365" s="20"/>
      <c r="E365" s="19"/>
      <c r="F365" s="19"/>
      <c r="G365" s="20">
        <f t="shared" ref="G365" si="219">SUM(G366:G369)</f>
        <v>69230.487013236634</v>
      </c>
      <c r="H365" s="20"/>
      <c r="I365" s="19"/>
      <c r="J365" s="20"/>
      <c r="K365" s="20">
        <f t="shared" ref="K365:L365" si="220">SUM(K366:K369)</f>
        <v>0</v>
      </c>
      <c r="L365" s="20">
        <f t="shared" si="220"/>
        <v>0</v>
      </c>
      <c r="M365" s="20">
        <f>SUM(M366:M369)</f>
        <v>0</v>
      </c>
      <c r="N365" s="61">
        <f t="shared" si="217"/>
        <v>0</v>
      </c>
    </row>
    <row r="366" spans="1:14" ht="24.75" hidden="1" customHeight="1" x14ac:dyDescent="0.2">
      <c r="A366" s="11" t="s">
        <v>694</v>
      </c>
      <c r="B366" s="11" t="s">
        <v>695</v>
      </c>
      <c r="C366" s="12" t="s">
        <v>696</v>
      </c>
      <c r="D366" s="13">
        <v>9.3800000000000008</v>
      </c>
      <c r="E366" s="13">
        <f>[1]CPUs!I3154</f>
        <v>510.97</v>
      </c>
      <c r="F366" s="13">
        <v>631.71</v>
      </c>
      <c r="G366" s="13">
        <f>(F366*D366)</f>
        <v>5925.439800000001</v>
      </c>
      <c r="H366" s="13">
        <v>0</v>
      </c>
      <c r="I366" s="13">
        <v>0</v>
      </c>
      <c r="J366" s="13">
        <f>H366+I366</f>
        <v>0</v>
      </c>
      <c r="K366" s="13">
        <f>H366*F366</f>
        <v>0</v>
      </c>
      <c r="L366" s="13">
        <f>I366*F366</f>
        <v>0</v>
      </c>
      <c r="M366" s="13">
        <f>J366*F366</f>
        <v>0</v>
      </c>
      <c r="N366" s="62">
        <f t="shared" ref="N366:N370" si="221">M366/G366</f>
        <v>0</v>
      </c>
    </row>
    <row r="367" spans="1:14" ht="24.75" hidden="1" customHeight="1" x14ac:dyDescent="0.2">
      <c r="A367" s="11" t="s">
        <v>697</v>
      </c>
      <c r="B367" s="11" t="s">
        <v>698</v>
      </c>
      <c r="C367" s="12" t="s">
        <v>696</v>
      </c>
      <c r="D367" s="13">
        <v>1.76</v>
      </c>
      <c r="E367" s="13">
        <f>[1]CPUs!I3166</f>
        <v>1962.65</v>
      </c>
      <c r="F367" s="13">
        <v>2426.42</v>
      </c>
      <c r="G367" s="13">
        <f>(F367*D367)</f>
        <v>4270.4992000000002</v>
      </c>
      <c r="H367" s="13">
        <v>0</v>
      </c>
      <c r="I367" s="13">
        <v>0</v>
      </c>
      <c r="J367" s="13">
        <f>H367+I367</f>
        <v>0</v>
      </c>
      <c r="K367" s="13">
        <f>H367*F367</f>
        <v>0</v>
      </c>
      <c r="L367" s="13">
        <f>I367*F367</f>
        <v>0</v>
      </c>
      <c r="M367" s="13">
        <f>J367*F367</f>
        <v>0</v>
      </c>
      <c r="N367" s="62">
        <f t="shared" si="221"/>
        <v>0</v>
      </c>
    </row>
    <row r="368" spans="1:14" ht="24.75" hidden="1" customHeight="1" x14ac:dyDescent="0.2">
      <c r="A368" s="11" t="s">
        <v>699</v>
      </c>
      <c r="B368" s="11" t="s">
        <v>700</v>
      </c>
      <c r="C368" s="12" t="s">
        <v>46</v>
      </c>
      <c r="D368" s="13">
        <v>153.66</v>
      </c>
      <c r="E368" s="13">
        <f>[1]CPUs!I3177</f>
        <v>139.25608</v>
      </c>
      <c r="F368" s="13">
        <v>172.16229170399998</v>
      </c>
      <c r="G368" s="13">
        <f>(F368*D368)</f>
        <v>26454.457743236639</v>
      </c>
      <c r="H368" s="13">
        <v>0</v>
      </c>
      <c r="I368" s="13">
        <v>0</v>
      </c>
      <c r="J368" s="13">
        <f>H368+I368</f>
        <v>0</v>
      </c>
      <c r="K368" s="13">
        <f>H368*F368</f>
        <v>0</v>
      </c>
      <c r="L368" s="13">
        <f>I368*F368</f>
        <v>0</v>
      </c>
      <c r="M368" s="13">
        <f>J368*F368</f>
        <v>0</v>
      </c>
      <c r="N368" s="62">
        <f t="shared" si="221"/>
        <v>0</v>
      </c>
    </row>
    <row r="369" spans="1:14" ht="24.75" hidden="1" customHeight="1" x14ac:dyDescent="0.2">
      <c r="A369" s="11" t="s">
        <v>701</v>
      </c>
      <c r="B369" s="11" t="s">
        <v>702</v>
      </c>
      <c r="C369" s="12" t="s">
        <v>46</v>
      </c>
      <c r="D369" s="13">
        <v>235</v>
      </c>
      <c r="E369" s="13">
        <f>[1]CPUs!I3188</f>
        <v>112.13999999999999</v>
      </c>
      <c r="F369" s="13">
        <v>138.63868199999999</v>
      </c>
      <c r="G369" s="13">
        <f t="shared" ref="G369" si="222">D369*F369</f>
        <v>32580.090269999997</v>
      </c>
      <c r="H369" s="13">
        <v>0</v>
      </c>
      <c r="I369" s="13">
        <v>0</v>
      </c>
      <c r="J369" s="13">
        <f>H369+I369</f>
        <v>0</v>
      </c>
      <c r="K369" s="13">
        <f>H369*F369</f>
        <v>0</v>
      </c>
      <c r="L369" s="13">
        <f>I369*F369</f>
        <v>0</v>
      </c>
      <c r="M369" s="13">
        <f>J369*F369</f>
        <v>0</v>
      </c>
      <c r="N369" s="62">
        <f t="shared" si="221"/>
        <v>0</v>
      </c>
    </row>
    <row r="370" spans="1:14" ht="24.75" hidden="1" customHeight="1" x14ac:dyDescent="0.2">
      <c r="A370" s="16" t="s">
        <v>703</v>
      </c>
      <c r="B370" s="16" t="s">
        <v>704</v>
      </c>
      <c r="C370" s="16"/>
      <c r="D370" s="20"/>
      <c r="E370" s="19"/>
      <c r="F370" s="19"/>
      <c r="G370" s="20">
        <f>SUM(G371:G373)</f>
        <v>20007.4872</v>
      </c>
      <c r="H370" s="20"/>
      <c r="I370" s="19"/>
      <c r="J370" s="20"/>
      <c r="K370" s="20">
        <f t="shared" ref="K370:L370" si="223">SUM(K371:K373)</f>
        <v>0</v>
      </c>
      <c r="L370" s="20">
        <f t="shared" si="223"/>
        <v>0</v>
      </c>
      <c r="M370" s="20">
        <f>SUM(M371:M373)</f>
        <v>0</v>
      </c>
      <c r="N370" s="61">
        <f t="shared" si="221"/>
        <v>0</v>
      </c>
    </row>
    <row r="371" spans="1:14" ht="24.75" hidden="1" customHeight="1" x14ac:dyDescent="0.2">
      <c r="A371" s="11" t="s">
        <v>705</v>
      </c>
      <c r="B371" s="11" t="s">
        <v>706</v>
      </c>
      <c r="C371" s="12" t="s">
        <v>696</v>
      </c>
      <c r="D371" s="13">
        <v>250</v>
      </c>
      <c r="E371" s="13">
        <f>[1]CPUs!I3196</f>
        <v>16.2</v>
      </c>
      <c r="F371" s="13">
        <v>20.02806</v>
      </c>
      <c r="G371" s="13">
        <f>(F371*D371)</f>
        <v>5007.0150000000003</v>
      </c>
      <c r="H371" s="13">
        <v>0</v>
      </c>
      <c r="I371" s="13">
        <v>0</v>
      </c>
      <c r="J371" s="13">
        <f>H371+I371</f>
        <v>0</v>
      </c>
      <c r="K371" s="13">
        <f>H371*F371</f>
        <v>0</v>
      </c>
      <c r="L371" s="13">
        <f>I371*F371</f>
        <v>0</v>
      </c>
      <c r="M371" s="13">
        <f>J371*F371</f>
        <v>0</v>
      </c>
      <c r="N371" s="62">
        <f t="shared" ref="N371:N375" si="224">M371/G371</f>
        <v>0</v>
      </c>
    </row>
    <row r="372" spans="1:14" ht="24.75" hidden="1" customHeight="1" x14ac:dyDescent="0.2">
      <c r="A372" s="11" t="s">
        <v>707</v>
      </c>
      <c r="B372" s="11" t="s">
        <v>708</v>
      </c>
      <c r="C372" s="12" t="s">
        <v>28</v>
      </c>
      <c r="D372" s="13">
        <v>320</v>
      </c>
      <c r="E372" s="13">
        <f>[1]CPUs!I3204</f>
        <v>32.949999999999996</v>
      </c>
      <c r="F372" s="13">
        <v>40.736084999999996</v>
      </c>
      <c r="G372" s="13">
        <f>(F372*D372)</f>
        <v>13035.547199999999</v>
      </c>
      <c r="H372" s="13">
        <v>0</v>
      </c>
      <c r="I372" s="13">
        <v>0</v>
      </c>
      <c r="J372" s="13">
        <f>H372+I372</f>
        <v>0</v>
      </c>
      <c r="K372" s="13">
        <f>H372*F372</f>
        <v>0</v>
      </c>
      <c r="L372" s="13">
        <f>I372*F372</f>
        <v>0</v>
      </c>
      <c r="M372" s="13">
        <f>J372*F372</f>
        <v>0</v>
      </c>
      <c r="N372" s="62">
        <f t="shared" si="224"/>
        <v>0</v>
      </c>
    </row>
    <row r="373" spans="1:14" ht="24.75" hidden="1" customHeight="1" x14ac:dyDescent="0.2">
      <c r="A373" s="11" t="s">
        <v>709</v>
      </c>
      <c r="B373" s="11" t="s">
        <v>710</v>
      </c>
      <c r="C373" s="12" t="s">
        <v>711</v>
      </c>
      <c r="D373" s="13">
        <v>35.5</v>
      </c>
      <c r="E373" s="13">
        <f>[1]CPUs!I3212</f>
        <v>47.84</v>
      </c>
      <c r="F373" s="13">
        <v>55.35</v>
      </c>
      <c r="G373" s="13">
        <f>(F373*D373)</f>
        <v>1964.925</v>
      </c>
      <c r="H373" s="13">
        <v>0</v>
      </c>
      <c r="I373" s="13">
        <v>0</v>
      </c>
      <c r="J373" s="13">
        <f>H373+I373</f>
        <v>0</v>
      </c>
      <c r="K373" s="13">
        <f>H373*F373</f>
        <v>0</v>
      </c>
      <c r="L373" s="13">
        <f>I373*F373</f>
        <v>0</v>
      </c>
      <c r="M373" s="13">
        <f>J373*F373</f>
        <v>0</v>
      </c>
      <c r="N373" s="62">
        <f t="shared" si="224"/>
        <v>0</v>
      </c>
    </row>
    <row r="374" spans="1:14" ht="24.75" hidden="1" customHeight="1" x14ac:dyDescent="0.2">
      <c r="A374" s="16" t="s">
        <v>712</v>
      </c>
      <c r="B374" s="16" t="s">
        <v>713</v>
      </c>
      <c r="C374" s="16"/>
      <c r="D374" s="20"/>
      <c r="E374" s="19"/>
      <c r="F374" s="19"/>
      <c r="G374" s="20">
        <f t="shared" ref="G374" si="225">G375</f>
        <v>213326.78628468001</v>
      </c>
      <c r="H374" s="20"/>
      <c r="I374" s="19"/>
      <c r="J374" s="20"/>
      <c r="K374" s="20">
        <f t="shared" ref="K374:L374" si="226">K375</f>
        <v>0</v>
      </c>
      <c r="L374" s="20">
        <f t="shared" si="226"/>
        <v>0</v>
      </c>
      <c r="M374" s="20">
        <f>M375</f>
        <v>0</v>
      </c>
      <c r="N374" s="61">
        <f t="shared" si="224"/>
        <v>0</v>
      </c>
    </row>
    <row r="375" spans="1:14" ht="24.75" hidden="1" customHeight="1" x14ac:dyDescent="0.2">
      <c r="A375" s="16" t="s">
        <v>714</v>
      </c>
      <c r="B375" s="16" t="s">
        <v>715</v>
      </c>
      <c r="C375" s="16"/>
      <c r="D375" s="20"/>
      <c r="E375" s="19"/>
      <c r="F375" s="19"/>
      <c r="G375" s="20">
        <f t="shared" ref="G375" si="227">SUM(G376:G381)</f>
        <v>213326.78628468001</v>
      </c>
      <c r="H375" s="20"/>
      <c r="I375" s="19"/>
      <c r="J375" s="20"/>
      <c r="K375" s="20">
        <f t="shared" ref="K375" si="228">SUM(K376:K381)</f>
        <v>0</v>
      </c>
      <c r="L375" s="20">
        <f t="shared" ref="L375" si="229">SUM(L376:L381)</f>
        <v>0</v>
      </c>
      <c r="M375" s="20">
        <f>SUM(M376:M381)</f>
        <v>0</v>
      </c>
      <c r="N375" s="61">
        <f t="shared" si="224"/>
        <v>0</v>
      </c>
    </row>
    <row r="376" spans="1:14" ht="24.75" hidden="1" customHeight="1" x14ac:dyDescent="0.2">
      <c r="A376" s="11" t="s">
        <v>716</v>
      </c>
      <c r="B376" s="11" t="s">
        <v>717</v>
      </c>
      <c r="C376" s="12" t="s">
        <v>46</v>
      </c>
      <c r="D376" s="13">
        <v>1150</v>
      </c>
      <c r="E376" s="13">
        <f>[1]CPUs!I3219</f>
        <v>11.866655999999999</v>
      </c>
      <c r="F376" s="13">
        <v>14.670746812799999</v>
      </c>
      <c r="G376" s="13">
        <f>(F376*D376)</f>
        <v>16871.358834719998</v>
      </c>
      <c r="H376" s="13">
        <v>0</v>
      </c>
      <c r="I376" s="13">
        <v>0</v>
      </c>
      <c r="J376" s="13">
        <f t="shared" ref="J376:J381" si="230">H376+I376</f>
        <v>0</v>
      </c>
      <c r="K376" s="13">
        <f t="shared" ref="K376:K381" si="231">H376*F376</f>
        <v>0</v>
      </c>
      <c r="L376" s="13">
        <f t="shared" ref="L376:L381" si="232">I376*F376</f>
        <v>0</v>
      </c>
      <c r="M376" s="13">
        <f t="shared" ref="M376:M381" si="233">J376*F376</f>
        <v>0</v>
      </c>
      <c r="N376" s="62">
        <f t="shared" ref="N376:N383" si="234">M376/G376</f>
        <v>0</v>
      </c>
    </row>
    <row r="377" spans="1:14" ht="24.75" hidden="1" customHeight="1" x14ac:dyDescent="0.2">
      <c r="A377" s="11" t="s">
        <v>718</v>
      </c>
      <c r="B377" s="11" t="s">
        <v>719</v>
      </c>
      <c r="C377" s="12" t="s">
        <v>720</v>
      </c>
      <c r="D377" s="13">
        <v>20950</v>
      </c>
      <c r="E377" s="13">
        <f>[1]CPUs!I3227</f>
        <v>4.9367600000000005</v>
      </c>
      <c r="F377" s="13">
        <v>6.1033163880000005</v>
      </c>
      <c r="G377" s="13">
        <f>(F377*D377)</f>
        <v>127864.47832860002</v>
      </c>
      <c r="H377" s="13">
        <v>0</v>
      </c>
      <c r="I377" s="13">
        <v>0</v>
      </c>
      <c r="J377" s="13">
        <f t="shared" si="230"/>
        <v>0</v>
      </c>
      <c r="K377" s="13">
        <f t="shared" si="231"/>
        <v>0</v>
      </c>
      <c r="L377" s="13">
        <f t="shared" si="232"/>
        <v>0</v>
      </c>
      <c r="M377" s="13">
        <f t="shared" si="233"/>
        <v>0</v>
      </c>
      <c r="N377" s="62">
        <f t="shared" si="234"/>
        <v>0</v>
      </c>
    </row>
    <row r="378" spans="1:14" ht="24.75" hidden="1" customHeight="1" x14ac:dyDescent="0.2">
      <c r="A378" s="11" t="s">
        <v>718</v>
      </c>
      <c r="B378" s="11" t="s">
        <v>721</v>
      </c>
      <c r="C378" s="12" t="s">
        <v>28</v>
      </c>
      <c r="D378" s="13">
        <v>321</v>
      </c>
      <c r="E378" s="13">
        <f>[1]CPUs!I3235</f>
        <v>97.37</v>
      </c>
      <c r="F378" s="13">
        <v>112.65</v>
      </c>
      <c r="G378" s="13">
        <f t="shared" ref="G378:G381" si="235">D378*F378</f>
        <v>36160.65</v>
      </c>
      <c r="H378" s="13">
        <v>0</v>
      </c>
      <c r="I378" s="13">
        <v>0</v>
      </c>
      <c r="J378" s="13">
        <f t="shared" si="230"/>
        <v>0</v>
      </c>
      <c r="K378" s="13">
        <f t="shared" si="231"/>
        <v>0</v>
      </c>
      <c r="L378" s="13">
        <f t="shared" si="232"/>
        <v>0</v>
      </c>
      <c r="M378" s="13">
        <f t="shared" si="233"/>
        <v>0</v>
      </c>
      <c r="N378" s="62">
        <f t="shared" si="234"/>
        <v>0</v>
      </c>
    </row>
    <row r="379" spans="1:14" ht="24.75" hidden="1" customHeight="1" x14ac:dyDescent="0.2">
      <c r="A379" s="11" t="s">
        <v>722</v>
      </c>
      <c r="B379" s="11" t="s">
        <v>723</v>
      </c>
      <c r="C379" s="12" t="s">
        <v>724</v>
      </c>
      <c r="D379" s="13">
        <v>321</v>
      </c>
      <c r="E379" s="13">
        <f>[1]CPUs!I3242</f>
        <v>25.2</v>
      </c>
      <c r="F379" s="13">
        <v>31.154730000000001</v>
      </c>
      <c r="G379" s="270">
        <f>(F379*D379)</f>
        <v>10000.66833</v>
      </c>
      <c r="H379" s="13">
        <v>0</v>
      </c>
      <c r="I379" s="13">
        <v>0</v>
      </c>
      <c r="J379" s="13">
        <f t="shared" si="230"/>
        <v>0</v>
      </c>
      <c r="K379" s="13">
        <f t="shared" si="231"/>
        <v>0</v>
      </c>
      <c r="L379" s="13">
        <f t="shared" si="232"/>
        <v>0</v>
      </c>
      <c r="M379" s="13">
        <f t="shared" si="233"/>
        <v>0</v>
      </c>
      <c r="N379" s="62">
        <f t="shared" si="234"/>
        <v>0</v>
      </c>
    </row>
    <row r="380" spans="1:14" ht="24.75" hidden="1" customHeight="1" x14ac:dyDescent="0.2">
      <c r="A380" s="11" t="s">
        <v>725</v>
      </c>
      <c r="B380" s="11" t="s">
        <v>726</v>
      </c>
      <c r="C380" s="12" t="s">
        <v>46</v>
      </c>
      <c r="D380" s="13">
        <v>360</v>
      </c>
      <c r="E380" s="13">
        <f>[1]CPUs!I3248</f>
        <v>29.91752</v>
      </c>
      <c r="F380" s="13">
        <v>36.987029976000002</v>
      </c>
      <c r="G380" s="13">
        <f t="shared" si="235"/>
        <v>13315.33079136</v>
      </c>
      <c r="H380" s="13">
        <v>0</v>
      </c>
      <c r="I380" s="13">
        <v>0</v>
      </c>
      <c r="J380" s="13">
        <f t="shared" si="230"/>
        <v>0</v>
      </c>
      <c r="K380" s="13">
        <f t="shared" si="231"/>
        <v>0</v>
      </c>
      <c r="L380" s="13">
        <f t="shared" si="232"/>
        <v>0</v>
      </c>
      <c r="M380" s="13">
        <f t="shared" si="233"/>
        <v>0</v>
      </c>
      <c r="N380" s="62">
        <f t="shared" si="234"/>
        <v>0</v>
      </c>
    </row>
    <row r="381" spans="1:14" ht="24.75" hidden="1" customHeight="1" x14ac:dyDescent="0.2">
      <c r="A381" s="11" t="s">
        <v>727</v>
      </c>
      <c r="B381" s="11" t="s">
        <v>615</v>
      </c>
      <c r="C381" s="12" t="s">
        <v>46</v>
      </c>
      <c r="D381" s="13">
        <v>95</v>
      </c>
      <c r="E381" s="13">
        <f>[1]CPUs!I3256</f>
        <v>77.601140000000001</v>
      </c>
      <c r="F381" s="13">
        <v>95.94</v>
      </c>
      <c r="G381" s="13">
        <f t="shared" si="235"/>
        <v>9114.2999999999993</v>
      </c>
      <c r="H381" s="13">
        <v>0</v>
      </c>
      <c r="I381" s="13">
        <v>0</v>
      </c>
      <c r="J381" s="13">
        <f t="shared" si="230"/>
        <v>0</v>
      </c>
      <c r="K381" s="13">
        <f t="shared" si="231"/>
        <v>0</v>
      </c>
      <c r="L381" s="13">
        <f t="shared" si="232"/>
        <v>0</v>
      </c>
      <c r="M381" s="13">
        <f t="shared" si="233"/>
        <v>0</v>
      </c>
      <c r="N381" s="62">
        <f t="shared" si="234"/>
        <v>0</v>
      </c>
    </row>
    <row r="382" spans="1:14" ht="24.75" customHeight="1" x14ac:dyDescent="0.2">
      <c r="A382" s="16" t="s">
        <v>728</v>
      </c>
      <c r="B382" s="16" t="s">
        <v>729</v>
      </c>
      <c r="C382" s="16"/>
      <c r="D382" s="20"/>
      <c r="E382" s="19"/>
      <c r="F382" s="19"/>
      <c r="G382" s="20">
        <f>G383+G396+G407+G412+G424</f>
        <v>520061.69251411856</v>
      </c>
      <c r="H382" s="20"/>
      <c r="I382" s="19"/>
      <c r="J382" s="20"/>
      <c r="K382" s="20">
        <f>K383+K396+K407+K412+K424</f>
        <v>74970.133500000011</v>
      </c>
      <c r="L382" s="20">
        <f>L383+L396+L407+L412+L424</f>
        <v>263436.08419709996</v>
      </c>
      <c r="M382" s="20">
        <f>M383+M396+M407+M412+M424</f>
        <v>338406.21769710002</v>
      </c>
      <c r="N382" s="61">
        <f t="shared" si="234"/>
        <v>0.65070398871555613</v>
      </c>
    </row>
    <row r="383" spans="1:14" ht="24.75" customHeight="1" x14ac:dyDescent="0.2">
      <c r="A383" s="16" t="s">
        <v>730</v>
      </c>
      <c r="B383" s="16" t="s">
        <v>731</v>
      </c>
      <c r="C383" s="16"/>
      <c r="D383" s="20"/>
      <c r="E383" s="19"/>
      <c r="F383" s="19"/>
      <c r="G383" s="20">
        <f>SUM(G384:G395)</f>
        <v>210935.57249999998</v>
      </c>
      <c r="H383" s="20"/>
      <c r="I383" s="19"/>
      <c r="J383" s="20"/>
      <c r="K383" s="20">
        <f>SUM(K384:K395)</f>
        <v>74970.133500000011</v>
      </c>
      <c r="L383" s="20">
        <f>SUM(L384:L395)</f>
        <v>130852.22399999997</v>
      </c>
      <c r="M383" s="20">
        <f>SUM(M384:M395)</f>
        <v>205822.35749999998</v>
      </c>
      <c r="N383" s="61">
        <f t="shared" si="234"/>
        <v>0.97575935182767715</v>
      </c>
    </row>
    <row r="384" spans="1:14" ht="26.1" hidden="1" customHeight="1" x14ac:dyDescent="0.2">
      <c r="A384" s="11" t="s">
        <v>732</v>
      </c>
      <c r="B384" s="11" t="s">
        <v>733</v>
      </c>
      <c r="C384" s="12" t="s">
        <v>696</v>
      </c>
      <c r="D384" s="13">
        <v>1220</v>
      </c>
      <c r="E384" s="13">
        <f>[1]CPUs!I3265</f>
        <v>1.55</v>
      </c>
      <c r="F384" s="13">
        <v>1.91</v>
      </c>
      <c r="G384" s="13">
        <f>D384*F384</f>
        <v>2330.1999999999998</v>
      </c>
      <c r="H384" s="13">
        <v>0</v>
      </c>
      <c r="I384" s="13">
        <v>0</v>
      </c>
      <c r="J384" s="13">
        <f t="shared" ref="J384:J395" si="236">H384+I384</f>
        <v>0</v>
      </c>
      <c r="K384" s="13">
        <f t="shared" ref="K384:K395" si="237">H384*F384</f>
        <v>0</v>
      </c>
      <c r="L384" s="13">
        <f t="shared" ref="L384:L395" si="238">I384*F384</f>
        <v>0</v>
      </c>
      <c r="M384" s="13">
        <f t="shared" ref="M384:M395" si="239">J384*F384</f>
        <v>0</v>
      </c>
      <c r="N384" s="62">
        <f t="shared" ref="N384:N434" si="240">M384/G384</f>
        <v>0</v>
      </c>
    </row>
    <row r="385" spans="1:14" ht="26.1" customHeight="1" x14ac:dyDescent="0.2">
      <c r="A385" s="11" t="s">
        <v>734</v>
      </c>
      <c r="B385" s="11" t="s">
        <v>735</v>
      </c>
      <c r="C385" s="12" t="s">
        <v>28</v>
      </c>
      <c r="D385" s="13">
        <v>12</v>
      </c>
      <c r="E385" s="13">
        <f>[1]CPUs!I3272</f>
        <v>227.81</v>
      </c>
      <c r="F385" s="13">
        <v>281.64</v>
      </c>
      <c r="G385" s="13">
        <f t="shared" ref="G385:G395" si="241">D385*F385</f>
        <v>3379.68</v>
      </c>
      <c r="H385" s="13">
        <v>12</v>
      </c>
      <c r="I385" s="13">
        <v>0</v>
      </c>
      <c r="J385" s="13">
        <f t="shared" si="236"/>
        <v>12</v>
      </c>
      <c r="K385" s="13">
        <f t="shared" si="237"/>
        <v>3379.68</v>
      </c>
      <c r="L385" s="13">
        <f t="shared" si="238"/>
        <v>0</v>
      </c>
      <c r="M385" s="13">
        <f t="shared" si="239"/>
        <v>3379.68</v>
      </c>
      <c r="N385" s="62">
        <f t="shared" si="240"/>
        <v>1</v>
      </c>
    </row>
    <row r="386" spans="1:14" ht="39" customHeight="1" x14ac:dyDescent="0.2">
      <c r="A386" s="11" t="s">
        <v>736</v>
      </c>
      <c r="B386" s="11" t="s">
        <v>737</v>
      </c>
      <c r="C386" s="12" t="s">
        <v>28</v>
      </c>
      <c r="D386" s="13">
        <v>9</v>
      </c>
      <c r="E386" s="13">
        <f>[1]CPUs!I3281</f>
        <v>93.64</v>
      </c>
      <c r="F386" s="13">
        <v>115.76</v>
      </c>
      <c r="G386" s="13">
        <f t="shared" si="241"/>
        <v>1041.8400000000001</v>
      </c>
      <c r="H386" s="13">
        <v>9</v>
      </c>
      <c r="I386" s="13">
        <v>0</v>
      </c>
      <c r="J386" s="13">
        <f t="shared" si="236"/>
        <v>9</v>
      </c>
      <c r="K386" s="13">
        <f t="shared" si="237"/>
        <v>1041.8400000000001</v>
      </c>
      <c r="L386" s="13">
        <f t="shared" si="238"/>
        <v>0</v>
      </c>
      <c r="M386" s="13">
        <f t="shared" si="239"/>
        <v>1041.8400000000001</v>
      </c>
      <c r="N386" s="62">
        <f t="shared" si="240"/>
        <v>1</v>
      </c>
    </row>
    <row r="387" spans="1:14" ht="39" customHeight="1" x14ac:dyDescent="0.2">
      <c r="A387" s="11" t="s">
        <v>738</v>
      </c>
      <c r="B387" s="11" t="s">
        <v>739</v>
      </c>
      <c r="C387" s="12" t="s">
        <v>28</v>
      </c>
      <c r="D387" s="13">
        <v>21</v>
      </c>
      <c r="E387" s="13">
        <f>[1]CPUs!I3288</f>
        <v>144.41999999999999</v>
      </c>
      <c r="F387" s="13">
        <v>178.54</v>
      </c>
      <c r="G387" s="13">
        <f t="shared" si="241"/>
        <v>3749.3399999999997</v>
      </c>
      <c r="H387" s="13">
        <v>21</v>
      </c>
      <c r="I387" s="13">
        <v>0</v>
      </c>
      <c r="J387" s="13">
        <f t="shared" si="236"/>
        <v>21</v>
      </c>
      <c r="K387" s="13">
        <f t="shared" si="237"/>
        <v>3749.3399999999997</v>
      </c>
      <c r="L387" s="13">
        <f t="shared" si="238"/>
        <v>0</v>
      </c>
      <c r="M387" s="13">
        <f t="shared" si="239"/>
        <v>3749.3399999999997</v>
      </c>
      <c r="N387" s="62">
        <f t="shared" si="240"/>
        <v>1</v>
      </c>
    </row>
    <row r="388" spans="1:14" ht="24" customHeight="1" x14ac:dyDescent="0.2">
      <c r="A388" s="11" t="s">
        <v>740</v>
      </c>
      <c r="B388" s="11" t="s">
        <v>741</v>
      </c>
      <c r="C388" s="12" t="s">
        <v>31</v>
      </c>
      <c r="D388" s="13">
        <v>375</v>
      </c>
      <c r="E388" s="13">
        <f>[1]CPUs!I3297</f>
        <v>1.62</v>
      </c>
      <c r="F388" s="13">
        <v>2</v>
      </c>
      <c r="G388" s="13">
        <f t="shared" si="241"/>
        <v>750</v>
      </c>
      <c r="H388" s="13">
        <v>375.0025</v>
      </c>
      <c r="I388" s="13">
        <v>0</v>
      </c>
      <c r="J388" s="13">
        <f t="shared" si="236"/>
        <v>375.0025</v>
      </c>
      <c r="K388" s="13">
        <f>(H388*F388)-0.01</f>
        <v>749.995</v>
      </c>
      <c r="L388" s="13">
        <f t="shared" si="238"/>
        <v>0</v>
      </c>
      <c r="M388" s="13">
        <f>(J388*F388)-0.01</f>
        <v>749.995</v>
      </c>
      <c r="N388" s="62">
        <f t="shared" si="240"/>
        <v>0.99999333333333329</v>
      </c>
    </row>
    <row r="389" spans="1:14" ht="65.099999999999994" customHeight="1" x14ac:dyDescent="0.2">
      <c r="A389" s="11" t="s">
        <v>742</v>
      </c>
      <c r="B389" s="11" t="s">
        <v>743</v>
      </c>
      <c r="C389" s="12" t="s">
        <v>744</v>
      </c>
      <c r="D389" s="13">
        <v>220</v>
      </c>
      <c r="E389" s="13">
        <f>[1]CPUs!I3304</f>
        <v>113.83</v>
      </c>
      <c r="F389" s="13">
        <v>140.72</v>
      </c>
      <c r="G389" s="13">
        <f t="shared" si="241"/>
        <v>30958.400000000001</v>
      </c>
      <c r="H389" s="13">
        <v>220</v>
      </c>
      <c r="I389" s="13">
        <v>0</v>
      </c>
      <c r="J389" s="13">
        <f t="shared" si="236"/>
        <v>220</v>
      </c>
      <c r="K389" s="13">
        <f t="shared" si="237"/>
        <v>30958.400000000001</v>
      </c>
      <c r="L389" s="13">
        <f t="shared" si="238"/>
        <v>0</v>
      </c>
      <c r="M389" s="13">
        <f t="shared" si="239"/>
        <v>30958.400000000001</v>
      </c>
      <c r="N389" s="62">
        <f t="shared" si="240"/>
        <v>1</v>
      </c>
    </row>
    <row r="390" spans="1:14" ht="26.1" customHeight="1" x14ac:dyDescent="0.2">
      <c r="A390" s="11" t="s">
        <v>745</v>
      </c>
      <c r="B390" s="11" t="s">
        <v>746</v>
      </c>
      <c r="C390" s="12" t="s">
        <v>59</v>
      </c>
      <c r="D390" s="13">
        <v>25.3</v>
      </c>
      <c r="E390" s="13">
        <f>[1]CPUs!I3314</f>
        <v>490.52</v>
      </c>
      <c r="F390" s="13">
        <v>606.41999999999996</v>
      </c>
      <c r="G390" s="13">
        <f>(F390*D390)</f>
        <v>15342.425999999999</v>
      </c>
      <c r="H390" s="13">
        <v>25.3</v>
      </c>
      <c r="I390" s="13">
        <v>0</v>
      </c>
      <c r="J390" s="13">
        <f t="shared" si="236"/>
        <v>25.3</v>
      </c>
      <c r="K390" s="13">
        <f>(H390*F390)-0.01</f>
        <v>15342.415999999999</v>
      </c>
      <c r="L390" s="13">
        <f t="shared" si="238"/>
        <v>0</v>
      </c>
      <c r="M390" s="13">
        <f>(J390*F390)-0.01</f>
        <v>15342.415999999999</v>
      </c>
      <c r="N390" s="62">
        <f t="shared" si="240"/>
        <v>0.99999934821259684</v>
      </c>
    </row>
    <row r="391" spans="1:14" ht="51.95" hidden="1" customHeight="1" x14ac:dyDescent="0.2">
      <c r="A391" s="11" t="s">
        <v>747</v>
      </c>
      <c r="B391" s="11" t="s">
        <v>748</v>
      </c>
      <c r="C391" s="12" t="s">
        <v>744</v>
      </c>
      <c r="D391" s="13">
        <v>220</v>
      </c>
      <c r="E391" s="13">
        <f>[1]CPUs!I3322</f>
        <v>10.24</v>
      </c>
      <c r="F391" s="13">
        <v>12.65</v>
      </c>
      <c r="G391" s="13">
        <f t="shared" si="241"/>
        <v>2783</v>
      </c>
      <c r="H391" s="13">
        <v>0</v>
      </c>
      <c r="I391" s="13">
        <v>0</v>
      </c>
      <c r="J391" s="13">
        <f t="shared" si="236"/>
        <v>0</v>
      </c>
      <c r="K391" s="13">
        <f t="shared" si="237"/>
        <v>0</v>
      </c>
      <c r="L391" s="13">
        <f t="shared" si="238"/>
        <v>0</v>
      </c>
      <c r="M391" s="13">
        <f t="shared" si="239"/>
        <v>0</v>
      </c>
      <c r="N391" s="62">
        <f t="shared" si="240"/>
        <v>0</v>
      </c>
    </row>
    <row r="392" spans="1:14" ht="26.1" customHeight="1" x14ac:dyDescent="0.2">
      <c r="A392" s="11" t="s">
        <v>749</v>
      </c>
      <c r="B392" s="11" t="s">
        <v>750</v>
      </c>
      <c r="C392" s="12" t="s">
        <v>31</v>
      </c>
      <c r="D392" s="13">
        <v>152.88999999999999</v>
      </c>
      <c r="E392" s="13">
        <f>[1]CPUs!I3331</f>
        <v>2.63</v>
      </c>
      <c r="F392" s="13">
        <v>3.25</v>
      </c>
      <c r="G392" s="13">
        <f t="shared" si="241"/>
        <v>496.89249999999993</v>
      </c>
      <c r="H392" s="13">
        <v>152.88999999999999</v>
      </c>
      <c r="I392" s="13">
        <v>0</v>
      </c>
      <c r="J392" s="13">
        <f t="shared" si="236"/>
        <v>152.88999999999999</v>
      </c>
      <c r="K392" s="13">
        <f t="shared" si="237"/>
        <v>496.89249999999993</v>
      </c>
      <c r="L392" s="13">
        <f t="shared" si="238"/>
        <v>0</v>
      </c>
      <c r="M392" s="13">
        <f t="shared" si="239"/>
        <v>496.89249999999993</v>
      </c>
      <c r="N392" s="62">
        <f t="shared" si="240"/>
        <v>1</v>
      </c>
    </row>
    <row r="393" spans="1:14" ht="26.1" customHeight="1" x14ac:dyDescent="0.2">
      <c r="A393" s="11" t="s">
        <v>751</v>
      </c>
      <c r="B393" s="11" t="s">
        <v>752</v>
      </c>
      <c r="C393" s="12" t="s">
        <v>31</v>
      </c>
      <c r="D393" s="13">
        <v>15</v>
      </c>
      <c r="E393" s="13">
        <f>[1]CPUs!I3338</f>
        <v>7.34</v>
      </c>
      <c r="F393" s="13">
        <v>9.07</v>
      </c>
      <c r="G393" s="13">
        <f t="shared" si="241"/>
        <v>136.05000000000001</v>
      </c>
      <c r="H393" s="13">
        <v>15</v>
      </c>
      <c r="I393" s="13">
        <v>0</v>
      </c>
      <c r="J393" s="13">
        <f t="shared" si="236"/>
        <v>15</v>
      </c>
      <c r="K393" s="13">
        <f t="shared" si="237"/>
        <v>136.05000000000001</v>
      </c>
      <c r="L393" s="13">
        <f t="shared" si="238"/>
        <v>0</v>
      </c>
      <c r="M393" s="13">
        <f t="shared" si="239"/>
        <v>136.05000000000001</v>
      </c>
      <c r="N393" s="62">
        <f t="shared" si="240"/>
        <v>1</v>
      </c>
    </row>
    <row r="394" spans="1:14" ht="26.1" customHeight="1" x14ac:dyDescent="0.2">
      <c r="A394" s="11" t="s">
        <v>753</v>
      </c>
      <c r="B394" s="11" t="s">
        <v>754</v>
      </c>
      <c r="C394" s="12" t="s">
        <v>59</v>
      </c>
      <c r="D394" s="13">
        <v>182.4</v>
      </c>
      <c r="E394" s="13">
        <f>[1]CPUs!I3345</f>
        <v>84.77</v>
      </c>
      <c r="F394" s="13">
        <v>104.8</v>
      </c>
      <c r="G394" s="13">
        <f t="shared" si="241"/>
        <v>19115.52</v>
      </c>
      <c r="H394" s="13">
        <v>182.4</v>
      </c>
      <c r="I394" s="13">
        <v>0</v>
      </c>
      <c r="J394" s="13">
        <f t="shared" si="236"/>
        <v>182.4</v>
      </c>
      <c r="K394" s="13">
        <f t="shared" si="237"/>
        <v>19115.52</v>
      </c>
      <c r="L394" s="13">
        <f t="shared" si="238"/>
        <v>0</v>
      </c>
      <c r="M394" s="13">
        <f t="shared" si="239"/>
        <v>19115.52</v>
      </c>
      <c r="N394" s="62">
        <f t="shared" si="240"/>
        <v>1</v>
      </c>
    </row>
    <row r="395" spans="1:14" ht="31.5" customHeight="1" x14ac:dyDescent="0.2">
      <c r="A395" s="73" t="s">
        <v>1097</v>
      </c>
      <c r="B395" s="73" t="s">
        <v>1098</v>
      </c>
      <c r="C395" s="74" t="s">
        <v>1147</v>
      </c>
      <c r="D395" s="75">
        <v>134899.19999999998</v>
      </c>
      <c r="E395" s="75">
        <v>134899.19999999998</v>
      </c>
      <c r="F395" s="144">
        <v>0.97</v>
      </c>
      <c r="G395" s="13">
        <f t="shared" si="241"/>
        <v>130852.22399999997</v>
      </c>
      <c r="H395" s="13"/>
      <c r="I395" s="13">
        <f>'RESUMO MEM.'!E253</f>
        <v>134899.19999999998</v>
      </c>
      <c r="J395" s="13">
        <f t="shared" si="236"/>
        <v>134899.19999999998</v>
      </c>
      <c r="K395" s="13">
        <f t="shared" si="237"/>
        <v>0</v>
      </c>
      <c r="L395" s="13">
        <f t="shared" si="238"/>
        <v>130852.22399999997</v>
      </c>
      <c r="M395" s="13">
        <f t="shared" si="239"/>
        <v>130852.22399999997</v>
      </c>
    </row>
    <row r="396" spans="1:14" ht="24" customHeight="1" x14ac:dyDescent="0.2">
      <c r="A396" s="16" t="s">
        <v>755</v>
      </c>
      <c r="B396" s="16" t="s">
        <v>756</v>
      </c>
      <c r="C396" s="16"/>
      <c r="D396" s="19"/>
      <c r="E396" s="19"/>
      <c r="F396" s="19"/>
      <c r="G396" s="20">
        <f>SUM(G397:G406)</f>
        <v>207421.97350000002</v>
      </c>
      <c r="H396" s="20"/>
      <c r="I396" s="19"/>
      <c r="J396" s="20"/>
      <c r="K396" s="20">
        <f>SUM(K397:K406)</f>
        <v>0</v>
      </c>
      <c r="L396" s="20">
        <f>SUM(L397:L406)+0.01</f>
        <v>132583.8601971</v>
      </c>
      <c r="M396" s="20">
        <f>SUM(M397:M406)+0.01</f>
        <v>132583.8601971</v>
      </c>
      <c r="N396" s="61">
        <f t="shared" si="240"/>
        <v>0.63919872113790288</v>
      </c>
    </row>
    <row r="397" spans="1:14" ht="26.1" hidden="1" customHeight="1" x14ac:dyDescent="0.2">
      <c r="A397" s="11" t="s">
        <v>757</v>
      </c>
      <c r="B397" s="11" t="s">
        <v>758</v>
      </c>
      <c r="C397" s="12" t="s">
        <v>59</v>
      </c>
      <c r="D397" s="13">
        <v>17.18</v>
      </c>
      <c r="E397" s="13">
        <f>[1]CPUs!I3352</f>
        <v>568.28</v>
      </c>
      <c r="F397" s="13">
        <v>702.56</v>
      </c>
      <c r="G397" s="13">
        <f>D397*F397</f>
        <v>12069.980799999999</v>
      </c>
      <c r="H397" s="13">
        <v>0</v>
      </c>
      <c r="I397" s="13">
        <v>0</v>
      </c>
      <c r="J397" s="13">
        <f t="shared" ref="J397:J406" si="242">H397+I397</f>
        <v>0</v>
      </c>
      <c r="K397" s="13">
        <f t="shared" ref="K397:K406" si="243">H397*F397</f>
        <v>0</v>
      </c>
      <c r="L397" s="13">
        <f t="shared" ref="L397:L406" si="244">I397*F397</f>
        <v>0</v>
      </c>
      <c r="M397" s="13">
        <f t="shared" ref="M397:M406" si="245">J397*F397</f>
        <v>0</v>
      </c>
      <c r="N397" s="62">
        <f t="shared" si="240"/>
        <v>0</v>
      </c>
    </row>
    <row r="398" spans="1:14" ht="39" hidden="1" customHeight="1" x14ac:dyDescent="0.2">
      <c r="A398" s="11" t="s">
        <v>759</v>
      </c>
      <c r="B398" s="11" t="s">
        <v>760</v>
      </c>
      <c r="C398" s="12" t="s">
        <v>79</v>
      </c>
      <c r="D398" s="13">
        <v>3696.22</v>
      </c>
      <c r="E398" s="13">
        <f>[1]CPUs!I3360</f>
        <v>12.65</v>
      </c>
      <c r="F398" s="13">
        <v>15.63</v>
      </c>
      <c r="G398" s="13">
        <f>(F398*D398)</f>
        <v>57771.918599999997</v>
      </c>
      <c r="H398" s="13">
        <v>0</v>
      </c>
      <c r="I398" s="13">
        <v>0</v>
      </c>
      <c r="J398" s="13">
        <f t="shared" si="242"/>
        <v>0</v>
      </c>
      <c r="K398" s="13">
        <f t="shared" si="243"/>
        <v>0</v>
      </c>
      <c r="L398" s="13">
        <f t="shared" si="244"/>
        <v>0</v>
      </c>
      <c r="M398" s="13">
        <f t="shared" si="245"/>
        <v>0</v>
      </c>
      <c r="N398" s="62">
        <f t="shared" si="240"/>
        <v>0</v>
      </c>
    </row>
    <row r="399" spans="1:14" ht="26.1" hidden="1" customHeight="1" x14ac:dyDescent="0.2">
      <c r="A399" s="11" t="s">
        <v>761</v>
      </c>
      <c r="B399" s="11" t="s">
        <v>762</v>
      </c>
      <c r="C399" s="12" t="s">
        <v>79</v>
      </c>
      <c r="D399" s="13">
        <v>179.25</v>
      </c>
      <c r="E399" s="13">
        <f>[1]CPUs!I3370</f>
        <v>13.29</v>
      </c>
      <c r="F399" s="13">
        <v>16.43</v>
      </c>
      <c r="G399" s="13">
        <f>(F399*D399)</f>
        <v>2945.0774999999999</v>
      </c>
      <c r="H399" s="13">
        <v>0</v>
      </c>
      <c r="I399" s="13">
        <v>0</v>
      </c>
      <c r="J399" s="13">
        <f t="shared" si="242"/>
        <v>0</v>
      </c>
      <c r="K399" s="13">
        <f t="shared" si="243"/>
        <v>0</v>
      </c>
      <c r="L399" s="13">
        <f t="shared" si="244"/>
        <v>0</v>
      </c>
      <c r="M399" s="13">
        <f t="shared" si="245"/>
        <v>0</v>
      </c>
      <c r="N399" s="62">
        <f t="shared" si="240"/>
        <v>0</v>
      </c>
    </row>
    <row r="400" spans="1:14" ht="39" hidden="1" customHeight="1" x14ac:dyDescent="0.2">
      <c r="A400" s="11" t="s">
        <v>763</v>
      </c>
      <c r="B400" s="11" t="s">
        <v>764</v>
      </c>
      <c r="C400" s="12" t="s">
        <v>59</v>
      </c>
      <c r="D400" s="13">
        <v>2.39</v>
      </c>
      <c r="E400" s="13">
        <f>[1]CPUs!I3380</f>
        <v>624.55999999999995</v>
      </c>
      <c r="F400" s="13">
        <v>772.14</v>
      </c>
      <c r="G400" s="13">
        <f t="shared" ref="G400:G406" si="246">D400*F400</f>
        <v>1845.4146000000001</v>
      </c>
      <c r="H400" s="13">
        <v>0</v>
      </c>
      <c r="I400" s="13">
        <v>0</v>
      </c>
      <c r="J400" s="13">
        <f t="shared" si="242"/>
        <v>0</v>
      </c>
      <c r="K400" s="13">
        <f t="shared" si="243"/>
        <v>0</v>
      </c>
      <c r="L400" s="13">
        <f t="shared" si="244"/>
        <v>0</v>
      </c>
      <c r="M400" s="13">
        <f t="shared" si="245"/>
        <v>0</v>
      </c>
      <c r="N400" s="62">
        <f t="shared" si="240"/>
        <v>0</v>
      </c>
    </row>
    <row r="401" spans="1:14" ht="51.95" hidden="1" customHeight="1" x14ac:dyDescent="0.2">
      <c r="A401" s="11" t="s">
        <v>765</v>
      </c>
      <c r="B401" s="11" t="s">
        <v>766</v>
      </c>
      <c r="C401" s="12" t="s">
        <v>31</v>
      </c>
      <c r="D401" s="13">
        <v>0</v>
      </c>
      <c r="E401" s="13">
        <f>[1]CPUs!I3390</f>
        <v>167.33</v>
      </c>
      <c r="F401" s="13">
        <f>[1]CPUs!J3400</f>
        <v>206.87</v>
      </c>
      <c r="G401" s="13">
        <f>(F401*D401)</f>
        <v>0</v>
      </c>
      <c r="H401" s="13">
        <v>0</v>
      </c>
      <c r="I401" s="13">
        <v>0</v>
      </c>
      <c r="J401" s="13">
        <f t="shared" si="242"/>
        <v>0</v>
      </c>
      <c r="K401" s="13">
        <f t="shared" si="243"/>
        <v>0</v>
      </c>
      <c r="L401" s="13">
        <f t="shared" si="244"/>
        <v>0</v>
      </c>
      <c r="M401" s="13">
        <f t="shared" si="245"/>
        <v>0</v>
      </c>
      <c r="N401" s="62" t="e">
        <f t="shared" si="240"/>
        <v>#DIV/0!</v>
      </c>
    </row>
    <row r="402" spans="1:14" ht="39" hidden="1" customHeight="1" x14ac:dyDescent="0.2">
      <c r="A402" s="11" t="s">
        <v>767</v>
      </c>
      <c r="B402" s="11" t="s">
        <v>131</v>
      </c>
      <c r="C402" s="12" t="s">
        <v>59</v>
      </c>
      <c r="D402" s="75">
        <v>0</v>
      </c>
      <c r="E402" s="13">
        <f>[1]CPUs!I3403</f>
        <v>639.05999999999995</v>
      </c>
      <c r="F402" s="13">
        <f>[1]CPUs!J3411</f>
        <v>790.06</v>
      </c>
      <c r="G402" s="13">
        <f>(F402*D402)</f>
        <v>0</v>
      </c>
      <c r="H402" s="13">
        <v>0</v>
      </c>
      <c r="I402" s="13">
        <v>0</v>
      </c>
      <c r="J402" s="13">
        <f t="shared" si="242"/>
        <v>0</v>
      </c>
      <c r="K402" s="13">
        <f t="shared" si="243"/>
        <v>0</v>
      </c>
      <c r="L402" s="13">
        <f t="shared" si="244"/>
        <v>0</v>
      </c>
      <c r="M402" s="13">
        <f t="shared" si="245"/>
        <v>0</v>
      </c>
      <c r="N402" s="62" t="e">
        <f t="shared" si="240"/>
        <v>#DIV/0!</v>
      </c>
    </row>
    <row r="403" spans="1:14" ht="26.1" hidden="1" customHeight="1" x14ac:dyDescent="0.2">
      <c r="A403" s="11" t="s">
        <v>768</v>
      </c>
      <c r="B403" s="11" t="s">
        <v>265</v>
      </c>
      <c r="C403" s="12" t="s">
        <v>31</v>
      </c>
      <c r="D403" s="13">
        <v>60.82</v>
      </c>
      <c r="E403" s="13">
        <f>[1]CPUs!I3415</f>
        <v>2.74</v>
      </c>
      <c r="F403" s="13">
        <v>3.38</v>
      </c>
      <c r="G403" s="13">
        <f t="shared" si="246"/>
        <v>205.57159999999999</v>
      </c>
      <c r="H403" s="13">
        <v>0</v>
      </c>
      <c r="I403" s="13">
        <v>0</v>
      </c>
      <c r="J403" s="13">
        <f t="shared" si="242"/>
        <v>0</v>
      </c>
      <c r="K403" s="13">
        <f t="shared" si="243"/>
        <v>0</v>
      </c>
      <c r="L403" s="13">
        <f t="shared" si="244"/>
        <v>0</v>
      </c>
      <c r="M403" s="13">
        <f t="shared" si="245"/>
        <v>0</v>
      </c>
      <c r="N403" s="62">
        <f t="shared" si="240"/>
        <v>0</v>
      </c>
    </row>
    <row r="404" spans="1:14" ht="18.75" customHeight="1" x14ac:dyDescent="0.2">
      <c r="A404" s="73" t="s">
        <v>1101</v>
      </c>
      <c r="B404" s="73" t="s">
        <v>874</v>
      </c>
      <c r="C404" s="74" t="s">
        <v>31</v>
      </c>
      <c r="D404" s="75">
        <v>445.48</v>
      </c>
      <c r="E404" s="75">
        <v>445.48</v>
      </c>
      <c r="F404" s="144">
        <v>159.19</v>
      </c>
      <c r="G404" s="13">
        <f t="shared" si="246"/>
        <v>70915.961200000005</v>
      </c>
      <c r="H404" s="13">
        <v>0</v>
      </c>
      <c r="I404" s="13">
        <f>'RESUMO MEM.'!E260</f>
        <v>445.48</v>
      </c>
      <c r="J404" s="13">
        <f t="shared" si="242"/>
        <v>445.48</v>
      </c>
      <c r="K404" s="13">
        <f t="shared" si="243"/>
        <v>0</v>
      </c>
      <c r="L404" s="13">
        <f t="shared" si="244"/>
        <v>70915.961200000005</v>
      </c>
      <c r="M404" s="13">
        <f t="shared" si="245"/>
        <v>70915.961200000005</v>
      </c>
      <c r="N404" s="62">
        <f t="shared" si="240"/>
        <v>1</v>
      </c>
    </row>
    <row r="405" spans="1:14" ht="42" customHeight="1" x14ac:dyDescent="0.2">
      <c r="A405" s="73" t="s">
        <v>1103</v>
      </c>
      <c r="B405" s="73" t="s">
        <v>876</v>
      </c>
      <c r="C405" s="74" t="s">
        <v>59</v>
      </c>
      <c r="D405" s="75">
        <v>45.8</v>
      </c>
      <c r="E405" s="75">
        <v>45.8</v>
      </c>
      <c r="F405" s="144">
        <v>641.38</v>
      </c>
      <c r="G405" s="13">
        <f t="shared" si="246"/>
        <v>29375.203999999998</v>
      </c>
      <c r="H405" s="13">
        <v>0</v>
      </c>
      <c r="I405" s="13">
        <f>'RESUMO MEM.'!E266</f>
        <v>45.8</v>
      </c>
      <c r="J405" s="13">
        <f t="shared" si="242"/>
        <v>45.8</v>
      </c>
      <c r="K405" s="13">
        <f t="shared" si="243"/>
        <v>0</v>
      </c>
      <c r="L405" s="13">
        <f t="shared" si="244"/>
        <v>29375.203999999998</v>
      </c>
      <c r="M405" s="13">
        <f t="shared" si="245"/>
        <v>29375.203999999998</v>
      </c>
      <c r="N405" s="62">
        <f t="shared" si="240"/>
        <v>1</v>
      </c>
    </row>
    <row r="406" spans="1:14" ht="39" customHeight="1" x14ac:dyDescent="0.2">
      <c r="A406" s="73" t="s">
        <v>1104</v>
      </c>
      <c r="B406" s="73" t="s">
        <v>878</v>
      </c>
      <c r="C406" s="74" t="s">
        <v>31</v>
      </c>
      <c r="D406" s="75">
        <v>445.48</v>
      </c>
      <c r="E406" s="75">
        <v>445.48</v>
      </c>
      <c r="F406" s="144">
        <v>72.489999999999995</v>
      </c>
      <c r="G406" s="13">
        <f t="shared" si="246"/>
        <v>32292.8452</v>
      </c>
      <c r="H406" s="13">
        <v>0</v>
      </c>
      <c r="I406" s="13">
        <f>'RESUMO MEM.'!E272</f>
        <v>445.47779000000003</v>
      </c>
      <c r="J406" s="13">
        <f t="shared" si="242"/>
        <v>445.47779000000003</v>
      </c>
      <c r="K406" s="13">
        <f t="shared" si="243"/>
        <v>0</v>
      </c>
      <c r="L406" s="13">
        <f t="shared" si="244"/>
        <v>32292.684997100001</v>
      </c>
      <c r="M406" s="13">
        <f t="shared" si="245"/>
        <v>32292.684997100001</v>
      </c>
      <c r="N406" s="62">
        <f t="shared" si="240"/>
        <v>0.99999503905899256</v>
      </c>
    </row>
    <row r="407" spans="1:14" ht="24" hidden="1" customHeight="1" x14ac:dyDescent="0.2">
      <c r="A407" s="16" t="s">
        <v>769</v>
      </c>
      <c r="B407" s="16" t="s">
        <v>770</v>
      </c>
      <c r="C407" s="16"/>
      <c r="D407" s="20"/>
      <c r="E407" s="19"/>
      <c r="F407" s="19"/>
      <c r="G407" s="20">
        <f>SUM(G408:G411)</f>
        <v>20039.935600000001</v>
      </c>
      <c r="H407" s="20"/>
      <c r="I407" s="19"/>
      <c r="J407" s="20"/>
      <c r="K407" s="20">
        <f t="shared" ref="K407:L407" si="247">SUM(K408:K411)</f>
        <v>0</v>
      </c>
      <c r="L407" s="20">
        <f t="shared" si="247"/>
        <v>0</v>
      </c>
      <c r="M407" s="20">
        <f>SUM(M408:M411)</f>
        <v>0</v>
      </c>
      <c r="N407" s="61">
        <f t="shared" si="240"/>
        <v>0</v>
      </c>
    </row>
    <row r="408" spans="1:14" ht="51.95" hidden="1" customHeight="1" x14ac:dyDescent="0.2">
      <c r="A408" s="11" t="s">
        <v>771</v>
      </c>
      <c r="B408" s="11" t="s">
        <v>772</v>
      </c>
      <c r="C408" s="12" t="s">
        <v>31</v>
      </c>
      <c r="D408" s="13">
        <v>60.82</v>
      </c>
      <c r="E408" s="13">
        <f>[1]CPUs!I3433</f>
        <v>62.14</v>
      </c>
      <c r="F408" s="13">
        <v>76.819999999999993</v>
      </c>
      <c r="G408" s="13">
        <f>D408*F408</f>
        <v>4672.1923999999999</v>
      </c>
      <c r="H408" s="13">
        <v>0</v>
      </c>
      <c r="I408" s="13">
        <v>0</v>
      </c>
      <c r="J408" s="13">
        <f>H408+I408</f>
        <v>0</v>
      </c>
      <c r="K408" s="13">
        <f>H408*F408</f>
        <v>0</v>
      </c>
      <c r="L408" s="13">
        <f>I408*F408</f>
        <v>0</v>
      </c>
      <c r="M408" s="13">
        <f>J408*F408</f>
        <v>0</v>
      </c>
      <c r="N408" s="62">
        <f t="shared" si="240"/>
        <v>0</v>
      </c>
    </row>
    <row r="409" spans="1:14" ht="39" hidden="1" customHeight="1" x14ac:dyDescent="0.2">
      <c r="A409" s="11" t="s">
        <v>773</v>
      </c>
      <c r="B409" s="11" t="s">
        <v>774</v>
      </c>
      <c r="C409" s="12" t="s">
        <v>31</v>
      </c>
      <c r="D409" s="13">
        <v>109.6</v>
      </c>
      <c r="E409" s="13">
        <f>[1]CPUs!I3448</f>
        <v>42.08</v>
      </c>
      <c r="F409" s="13">
        <v>52.02</v>
      </c>
      <c r="G409" s="13">
        <f t="shared" ref="G409:G411" si="248">D409*F409</f>
        <v>5701.3919999999998</v>
      </c>
      <c r="H409" s="13">
        <v>0</v>
      </c>
      <c r="I409" s="13">
        <v>0</v>
      </c>
      <c r="J409" s="13">
        <f>H409+I409</f>
        <v>0</v>
      </c>
      <c r="K409" s="13">
        <f>H409*F409</f>
        <v>0</v>
      </c>
      <c r="L409" s="13">
        <f>I409*F409</f>
        <v>0</v>
      </c>
      <c r="M409" s="13">
        <f>J409*F409</f>
        <v>0</v>
      </c>
      <c r="N409" s="62">
        <f t="shared" si="240"/>
        <v>0</v>
      </c>
    </row>
    <row r="410" spans="1:14" ht="39" hidden="1" customHeight="1" x14ac:dyDescent="0.2">
      <c r="A410" s="11" t="s">
        <v>775</v>
      </c>
      <c r="B410" s="11" t="s">
        <v>776</v>
      </c>
      <c r="C410" s="12" t="s">
        <v>28</v>
      </c>
      <c r="D410" s="13">
        <v>3</v>
      </c>
      <c r="E410" s="13">
        <f>[1]CPUs!I3458</f>
        <v>2509.83</v>
      </c>
      <c r="F410" s="13">
        <v>3102.9</v>
      </c>
      <c r="G410" s="13">
        <f t="shared" si="248"/>
        <v>9308.7000000000007</v>
      </c>
      <c r="H410" s="13">
        <v>0</v>
      </c>
      <c r="I410" s="13">
        <v>0</v>
      </c>
      <c r="J410" s="13">
        <f>H410+I410</f>
        <v>0</v>
      </c>
      <c r="K410" s="13">
        <f>H410*F410</f>
        <v>0</v>
      </c>
      <c r="L410" s="13">
        <f>I410*F410</f>
        <v>0</v>
      </c>
      <c r="M410" s="13">
        <f>J410*F410</f>
        <v>0</v>
      </c>
      <c r="N410" s="62">
        <f t="shared" si="240"/>
        <v>0</v>
      </c>
    </row>
    <row r="411" spans="1:14" ht="26.1" hidden="1" customHeight="1" x14ac:dyDescent="0.2">
      <c r="A411" s="11" t="s">
        <v>777</v>
      </c>
      <c r="B411" s="11" t="s">
        <v>778</v>
      </c>
      <c r="C411" s="12" t="s">
        <v>46</v>
      </c>
      <c r="D411" s="13">
        <v>13.63</v>
      </c>
      <c r="E411" s="13">
        <f>[1]CPUs!I3475</f>
        <v>21.23</v>
      </c>
      <c r="F411" s="13">
        <v>26.24</v>
      </c>
      <c r="G411" s="13">
        <f t="shared" si="248"/>
        <v>357.65120000000002</v>
      </c>
      <c r="H411" s="13">
        <v>0</v>
      </c>
      <c r="I411" s="13">
        <v>0</v>
      </c>
      <c r="J411" s="13">
        <f>H411+I411</f>
        <v>0</v>
      </c>
      <c r="K411" s="13">
        <f>H411*F411</f>
        <v>0</v>
      </c>
      <c r="L411" s="13">
        <f>I411*F411</f>
        <v>0</v>
      </c>
      <c r="M411" s="13">
        <f>J411*F411</f>
        <v>0</v>
      </c>
      <c r="N411" s="62">
        <f t="shared" si="240"/>
        <v>0</v>
      </c>
    </row>
    <row r="412" spans="1:14" ht="24" hidden="1" customHeight="1" x14ac:dyDescent="0.2">
      <c r="A412" s="16" t="s">
        <v>779</v>
      </c>
      <c r="B412" s="16" t="s">
        <v>693</v>
      </c>
      <c r="C412" s="16"/>
      <c r="D412" s="20"/>
      <c r="E412" s="19"/>
      <c r="F412" s="19"/>
      <c r="G412" s="20">
        <f>SUM(G413:G423)</f>
        <v>64856.640014118551</v>
      </c>
      <c r="H412" s="20"/>
      <c r="I412" s="19"/>
      <c r="J412" s="20"/>
      <c r="K412" s="20">
        <f t="shared" ref="K412:L412" si="249">SUM(K413:K423)</f>
        <v>0</v>
      </c>
      <c r="L412" s="20">
        <f t="shared" si="249"/>
        <v>0</v>
      </c>
      <c r="M412" s="20">
        <f>SUM(M413:M423)</f>
        <v>0</v>
      </c>
      <c r="N412" s="61">
        <f t="shared" si="240"/>
        <v>0</v>
      </c>
    </row>
    <row r="413" spans="1:14" ht="39" hidden="1" customHeight="1" x14ac:dyDescent="0.2">
      <c r="A413" s="11" t="s">
        <v>780</v>
      </c>
      <c r="B413" s="11" t="s">
        <v>781</v>
      </c>
      <c r="C413" s="12" t="s">
        <v>28</v>
      </c>
      <c r="D413" s="13">
        <v>1</v>
      </c>
      <c r="E413" s="13">
        <f>[1]CPUs!I3483</f>
        <v>431.82557899999995</v>
      </c>
      <c r="F413" s="13">
        <v>533.86596331769988</v>
      </c>
      <c r="G413" s="13">
        <f>(F413*D413)</f>
        <v>533.86596331769988</v>
      </c>
      <c r="H413" s="13">
        <v>0</v>
      </c>
      <c r="I413" s="13">
        <v>0</v>
      </c>
      <c r="J413" s="13">
        <f t="shared" ref="J413:J423" si="250">H413+I413</f>
        <v>0</v>
      </c>
      <c r="K413" s="13">
        <f t="shared" ref="K413:K423" si="251">H413*F413</f>
        <v>0</v>
      </c>
      <c r="L413" s="13">
        <f t="shared" ref="L413:L423" si="252">I413*F413</f>
        <v>0</v>
      </c>
      <c r="M413" s="13">
        <f t="shared" ref="M413:M423" si="253">J413*F413</f>
        <v>0</v>
      </c>
      <c r="N413" s="62">
        <f t="shared" si="240"/>
        <v>0</v>
      </c>
    </row>
    <row r="414" spans="1:14" ht="39" hidden="1" customHeight="1" x14ac:dyDescent="0.2">
      <c r="A414" s="11" t="s">
        <v>782</v>
      </c>
      <c r="B414" s="11" t="s">
        <v>783</v>
      </c>
      <c r="C414" s="12" t="s">
        <v>28</v>
      </c>
      <c r="D414" s="13">
        <v>2</v>
      </c>
      <c r="E414" s="13">
        <f>[1]CPUs!I3495</f>
        <v>462.24</v>
      </c>
      <c r="F414" s="13">
        <v>571.46</v>
      </c>
      <c r="G414" s="13">
        <f t="shared" ref="G414:G423" si="254">D414*F414</f>
        <v>1142.92</v>
      </c>
      <c r="H414" s="13">
        <v>0</v>
      </c>
      <c r="I414" s="13">
        <v>0</v>
      </c>
      <c r="J414" s="13">
        <f t="shared" si="250"/>
        <v>0</v>
      </c>
      <c r="K414" s="13">
        <f t="shared" si="251"/>
        <v>0</v>
      </c>
      <c r="L414" s="13">
        <f t="shared" si="252"/>
        <v>0</v>
      </c>
      <c r="M414" s="13">
        <f t="shared" si="253"/>
        <v>0</v>
      </c>
      <c r="N414" s="62">
        <f t="shared" si="240"/>
        <v>0</v>
      </c>
    </row>
    <row r="415" spans="1:14" ht="39" hidden="1" customHeight="1" x14ac:dyDescent="0.2">
      <c r="A415" s="11" t="s">
        <v>784</v>
      </c>
      <c r="B415" s="11" t="s">
        <v>785</v>
      </c>
      <c r="C415" s="12" t="s">
        <v>28</v>
      </c>
      <c r="D415" s="13">
        <v>2</v>
      </c>
      <c r="E415" s="13">
        <f>[1]CPUs!I3503</f>
        <v>117.43</v>
      </c>
      <c r="F415" s="13">
        <v>145.16999999999999</v>
      </c>
      <c r="G415" s="13">
        <f t="shared" si="254"/>
        <v>290.33999999999997</v>
      </c>
      <c r="H415" s="13">
        <v>0</v>
      </c>
      <c r="I415" s="13">
        <v>0</v>
      </c>
      <c r="J415" s="13">
        <f t="shared" si="250"/>
        <v>0</v>
      </c>
      <c r="K415" s="13">
        <f t="shared" si="251"/>
        <v>0</v>
      </c>
      <c r="L415" s="13">
        <f t="shared" si="252"/>
        <v>0</v>
      </c>
      <c r="M415" s="13">
        <f t="shared" si="253"/>
        <v>0</v>
      </c>
      <c r="N415" s="62">
        <f t="shared" si="240"/>
        <v>0</v>
      </c>
    </row>
    <row r="416" spans="1:14" ht="26.1" hidden="1" customHeight="1" x14ac:dyDescent="0.2">
      <c r="A416" s="11" t="s">
        <v>786</v>
      </c>
      <c r="B416" s="11" t="s">
        <v>787</v>
      </c>
      <c r="C416" s="12" t="s">
        <v>28</v>
      </c>
      <c r="D416" s="13">
        <v>1</v>
      </c>
      <c r="E416" s="13">
        <f>[1]CPUs!I3512</f>
        <v>234.54787420000002</v>
      </c>
      <c r="F416" s="13">
        <v>289.97153687346002</v>
      </c>
      <c r="G416" s="13">
        <f t="shared" si="254"/>
        <v>289.97153687346002</v>
      </c>
      <c r="H416" s="13">
        <v>0</v>
      </c>
      <c r="I416" s="13">
        <v>0</v>
      </c>
      <c r="J416" s="13">
        <f t="shared" si="250"/>
        <v>0</v>
      </c>
      <c r="K416" s="13">
        <f t="shared" si="251"/>
        <v>0</v>
      </c>
      <c r="L416" s="13">
        <f t="shared" si="252"/>
        <v>0</v>
      </c>
      <c r="M416" s="13">
        <f t="shared" si="253"/>
        <v>0</v>
      </c>
      <c r="N416" s="62">
        <f t="shared" si="240"/>
        <v>0</v>
      </c>
    </row>
    <row r="417" spans="1:14" ht="51.95" hidden="1" customHeight="1" x14ac:dyDescent="0.2">
      <c r="A417" s="11" t="s">
        <v>788</v>
      </c>
      <c r="B417" s="11" t="s">
        <v>789</v>
      </c>
      <c r="C417" s="12" t="s">
        <v>28</v>
      </c>
      <c r="D417" s="13">
        <v>1</v>
      </c>
      <c r="E417" s="13">
        <f>[1]CPUs!I3524</f>
        <v>217.88</v>
      </c>
      <c r="F417" s="13">
        <v>269.36</v>
      </c>
      <c r="G417" s="13">
        <f t="shared" si="254"/>
        <v>269.36</v>
      </c>
      <c r="H417" s="13">
        <v>0</v>
      </c>
      <c r="I417" s="13">
        <v>0</v>
      </c>
      <c r="J417" s="13">
        <f t="shared" si="250"/>
        <v>0</v>
      </c>
      <c r="K417" s="13">
        <f t="shared" si="251"/>
        <v>0</v>
      </c>
      <c r="L417" s="13">
        <f t="shared" si="252"/>
        <v>0</v>
      </c>
      <c r="M417" s="13">
        <f t="shared" si="253"/>
        <v>0</v>
      </c>
      <c r="N417" s="62">
        <f t="shared" si="240"/>
        <v>0</v>
      </c>
    </row>
    <row r="418" spans="1:14" ht="39" hidden="1" customHeight="1" x14ac:dyDescent="0.2">
      <c r="A418" s="11" t="s">
        <v>790</v>
      </c>
      <c r="B418" s="11" t="s">
        <v>368</v>
      </c>
      <c r="C418" s="12" t="s">
        <v>28</v>
      </c>
      <c r="D418" s="13">
        <v>1</v>
      </c>
      <c r="E418" s="13">
        <f>[1]CPUs!I3532</f>
        <v>129.68</v>
      </c>
      <c r="F418" s="13">
        <v>160.32</v>
      </c>
      <c r="G418" s="13">
        <f t="shared" si="254"/>
        <v>160.32</v>
      </c>
      <c r="H418" s="13">
        <v>0</v>
      </c>
      <c r="I418" s="13">
        <v>0</v>
      </c>
      <c r="J418" s="13">
        <f t="shared" si="250"/>
        <v>0</v>
      </c>
      <c r="K418" s="13">
        <f t="shared" si="251"/>
        <v>0</v>
      </c>
      <c r="L418" s="13">
        <f t="shared" si="252"/>
        <v>0</v>
      </c>
      <c r="M418" s="13">
        <f t="shared" si="253"/>
        <v>0</v>
      </c>
      <c r="N418" s="62">
        <f t="shared" si="240"/>
        <v>0</v>
      </c>
    </row>
    <row r="419" spans="1:14" ht="26.1" hidden="1" customHeight="1" x14ac:dyDescent="0.2">
      <c r="A419" s="11" t="s">
        <v>791</v>
      </c>
      <c r="B419" s="11" t="s">
        <v>792</v>
      </c>
      <c r="C419" s="12" t="s">
        <v>59</v>
      </c>
      <c r="D419" s="13">
        <v>2.58</v>
      </c>
      <c r="E419" s="13">
        <f>[1]CPUs!I3542</f>
        <v>915.49</v>
      </c>
      <c r="F419" s="13">
        <v>1131.82</v>
      </c>
      <c r="G419" s="13">
        <f>(F419*D419)</f>
        <v>2920.0956000000001</v>
      </c>
      <c r="H419" s="13">
        <v>0</v>
      </c>
      <c r="I419" s="13">
        <v>0</v>
      </c>
      <c r="J419" s="13">
        <f t="shared" si="250"/>
        <v>0</v>
      </c>
      <c r="K419" s="13">
        <f t="shared" si="251"/>
        <v>0</v>
      </c>
      <c r="L419" s="13">
        <f t="shared" si="252"/>
        <v>0</v>
      </c>
      <c r="M419" s="13">
        <f t="shared" si="253"/>
        <v>0</v>
      </c>
      <c r="N419" s="62">
        <f t="shared" si="240"/>
        <v>0</v>
      </c>
    </row>
    <row r="420" spans="1:14" ht="26.1" hidden="1" customHeight="1" x14ac:dyDescent="0.2">
      <c r="A420" s="11" t="s">
        <v>793</v>
      </c>
      <c r="B420" s="11" t="s">
        <v>794</v>
      </c>
      <c r="C420" s="12" t="s">
        <v>59</v>
      </c>
      <c r="D420" s="13">
        <v>3.75</v>
      </c>
      <c r="E420" s="13">
        <f>[1]CPUs!I3550</f>
        <v>799.93</v>
      </c>
      <c r="F420" s="13">
        <v>988.95</v>
      </c>
      <c r="G420" s="13">
        <f t="shared" si="254"/>
        <v>3708.5625</v>
      </c>
      <c r="H420" s="13">
        <v>0</v>
      </c>
      <c r="I420" s="13">
        <v>0</v>
      </c>
      <c r="J420" s="13">
        <f t="shared" si="250"/>
        <v>0</v>
      </c>
      <c r="K420" s="13">
        <f t="shared" si="251"/>
        <v>0</v>
      </c>
      <c r="L420" s="13">
        <f t="shared" si="252"/>
        <v>0</v>
      </c>
      <c r="M420" s="13">
        <f t="shared" si="253"/>
        <v>0</v>
      </c>
      <c r="N420" s="62">
        <f t="shared" si="240"/>
        <v>0</v>
      </c>
    </row>
    <row r="421" spans="1:14" ht="26.1" hidden="1" customHeight="1" x14ac:dyDescent="0.2">
      <c r="A421" s="11" t="s">
        <v>795</v>
      </c>
      <c r="B421" s="11" t="s">
        <v>796</v>
      </c>
      <c r="C421" s="12" t="s">
        <v>31</v>
      </c>
      <c r="D421" s="13">
        <v>15.2</v>
      </c>
      <c r="E421" s="13">
        <f>[1]CPUs!I3558</f>
        <v>224.66</v>
      </c>
      <c r="F421" s="13">
        <v>277.74</v>
      </c>
      <c r="G421" s="13">
        <f>(F421*D421)</f>
        <v>4221.6480000000001</v>
      </c>
      <c r="H421" s="13">
        <v>0</v>
      </c>
      <c r="I421" s="13">
        <v>0</v>
      </c>
      <c r="J421" s="13">
        <f t="shared" si="250"/>
        <v>0</v>
      </c>
      <c r="K421" s="13">
        <f t="shared" si="251"/>
        <v>0</v>
      </c>
      <c r="L421" s="13">
        <f t="shared" si="252"/>
        <v>0</v>
      </c>
      <c r="M421" s="13">
        <f t="shared" si="253"/>
        <v>0</v>
      </c>
      <c r="N421" s="62">
        <f t="shared" si="240"/>
        <v>0</v>
      </c>
    </row>
    <row r="422" spans="1:14" ht="26.1" hidden="1" customHeight="1" x14ac:dyDescent="0.2">
      <c r="A422" s="11" t="s">
        <v>797</v>
      </c>
      <c r="B422" s="11" t="s">
        <v>798</v>
      </c>
      <c r="C422" s="12" t="s">
        <v>31</v>
      </c>
      <c r="D422" s="13">
        <v>89.46</v>
      </c>
      <c r="E422" s="13">
        <f>[1]CPUs!I3568</f>
        <v>439.14629999999994</v>
      </c>
      <c r="F422" s="13">
        <v>542.91657068999996</v>
      </c>
      <c r="G422" s="13">
        <f>(F422*D422)</f>
        <v>48569.316413927394</v>
      </c>
      <c r="H422" s="13">
        <v>0</v>
      </c>
      <c r="I422" s="13">
        <v>0</v>
      </c>
      <c r="J422" s="13">
        <f t="shared" si="250"/>
        <v>0</v>
      </c>
      <c r="K422" s="13">
        <f t="shared" si="251"/>
        <v>0</v>
      </c>
      <c r="L422" s="13">
        <f t="shared" si="252"/>
        <v>0</v>
      </c>
      <c r="M422" s="13">
        <f t="shared" si="253"/>
        <v>0</v>
      </c>
      <c r="N422" s="62">
        <f t="shared" si="240"/>
        <v>0</v>
      </c>
    </row>
    <row r="423" spans="1:14" ht="26.1" hidden="1" customHeight="1" x14ac:dyDescent="0.2">
      <c r="A423" s="11" t="s">
        <v>799</v>
      </c>
      <c r="B423" s="11" t="s">
        <v>800</v>
      </c>
      <c r="C423" s="12" t="s">
        <v>31</v>
      </c>
      <c r="D423" s="13">
        <v>4</v>
      </c>
      <c r="E423" s="13">
        <f>[1]CPUs!I3582</f>
        <v>556.15</v>
      </c>
      <c r="F423" s="13">
        <v>687.56</v>
      </c>
      <c r="G423" s="13">
        <f t="shared" si="254"/>
        <v>2750.24</v>
      </c>
      <c r="H423" s="13">
        <v>0</v>
      </c>
      <c r="I423" s="13">
        <v>0</v>
      </c>
      <c r="J423" s="13">
        <f t="shared" si="250"/>
        <v>0</v>
      </c>
      <c r="K423" s="13">
        <f t="shared" si="251"/>
        <v>0</v>
      </c>
      <c r="L423" s="13">
        <f t="shared" si="252"/>
        <v>0</v>
      </c>
      <c r="M423" s="13">
        <f t="shared" si="253"/>
        <v>0</v>
      </c>
      <c r="N423" s="62">
        <f t="shared" si="240"/>
        <v>0</v>
      </c>
    </row>
    <row r="424" spans="1:14" ht="24" hidden="1" customHeight="1" x14ac:dyDescent="0.2">
      <c r="A424" s="16" t="s">
        <v>801</v>
      </c>
      <c r="B424" s="16" t="s">
        <v>802</v>
      </c>
      <c r="C424" s="16"/>
      <c r="D424" s="20"/>
      <c r="E424" s="19"/>
      <c r="F424" s="19"/>
      <c r="G424" s="20">
        <f>SUM(G425:G426)</f>
        <v>16807.570899999999</v>
      </c>
      <c r="H424" s="20"/>
      <c r="I424" s="19"/>
      <c r="J424" s="20"/>
      <c r="K424" s="20">
        <f t="shared" ref="K424:L424" si="255">SUM(K425:K427)</f>
        <v>0</v>
      </c>
      <c r="L424" s="20">
        <f t="shared" si="255"/>
        <v>0</v>
      </c>
      <c r="M424" s="20">
        <f>SUM(M425:M427)</f>
        <v>0</v>
      </c>
      <c r="N424" s="61">
        <f t="shared" ref="N424" si="256">M424/G424</f>
        <v>0</v>
      </c>
    </row>
    <row r="425" spans="1:14" ht="51.95" hidden="1" customHeight="1" x14ac:dyDescent="0.2">
      <c r="A425" s="11" t="s">
        <v>803</v>
      </c>
      <c r="B425" s="11" t="s">
        <v>804</v>
      </c>
      <c r="C425" s="12" t="s">
        <v>31</v>
      </c>
      <c r="D425" s="13">
        <v>247.89</v>
      </c>
      <c r="E425" s="13">
        <f>[1]CPUs!I3593</f>
        <v>3.73</v>
      </c>
      <c r="F425" s="13">
        <v>4.6100000000000003</v>
      </c>
      <c r="G425" s="13">
        <f>D425*F425</f>
        <v>1142.7728999999999</v>
      </c>
      <c r="H425" s="13">
        <v>0</v>
      </c>
      <c r="I425" s="13">
        <v>0</v>
      </c>
      <c r="J425" s="13">
        <f>H425+I425</f>
        <v>0</v>
      </c>
      <c r="K425" s="13">
        <f>H425*F425</f>
        <v>0</v>
      </c>
      <c r="L425" s="13">
        <f>I425*F425</f>
        <v>0</v>
      </c>
      <c r="M425" s="13">
        <f>J425*F425</f>
        <v>0</v>
      </c>
      <c r="N425" s="62">
        <f t="shared" si="240"/>
        <v>0</v>
      </c>
    </row>
    <row r="426" spans="1:14" ht="65.099999999999994" hidden="1" customHeight="1" x14ac:dyDescent="0.2">
      <c r="A426" s="11" t="s">
        <v>805</v>
      </c>
      <c r="B426" s="11" t="s">
        <v>806</v>
      </c>
      <c r="C426" s="12" t="s">
        <v>31</v>
      </c>
      <c r="D426" s="13">
        <v>185.8</v>
      </c>
      <c r="E426" s="13">
        <f>[1]CPUs!I3601</f>
        <v>68.2</v>
      </c>
      <c r="F426" s="13">
        <v>84.31</v>
      </c>
      <c r="G426" s="13">
        <f>(F426*D426)</f>
        <v>15664.798000000001</v>
      </c>
      <c r="H426" s="13">
        <v>0</v>
      </c>
      <c r="I426" s="13">
        <v>0</v>
      </c>
      <c r="J426" s="13">
        <f>H426+I426</f>
        <v>0</v>
      </c>
      <c r="K426" s="13">
        <f>H426*F426</f>
        <v>0</v>
      </c>
      <c r="L426" s="13">
        <f>I426*F426</f>
        <v>0</v>
      </c>
      <c r="M426" s="13">
        <f>J426*F426</f>
        <v>0</v>
      </c>
      <c r="N426" s="62">
        <f t="shared" si="240"/>
        <v>0</v>
      </c>
    </row>
    <row r="427" spans="1:14" ht="24" hidden="1" customHeight="1" x14ac:dyDescent="0.2">
      <c r="A427" s="16" t="s">
        <v>807</v>
      </c>
      <c r="B427" s="16" t="s">
        <v>204</v>
      </c>
      <c r="C427" s="16"/>
      <c r="D427" s="20"/>
      <c r="E427" s="19"/>
      <c r="F427" s="19"/>
      <c r="G427" s="20">
        <f>SUM(G428:G432)</f>
        <v>37767.462950067245</v>
      </c>
      <c r="H427" s="20"/>
      <c r="I427" s="19"/>
      <c r="J427" s="20"/>
      <c r="K427" s="20">
        <f t="shared" ref="K427:L427" si="257">SUM(K428:K432)</f>
        <v>0</v>
      </c>
      <c r="L427" s="20">
        <f t="shared" si="257"/>
        <v>0</v>
      </c>
      <c r="M427" s="20">
        <f>SUM(M428:M432)</f>
        <v>0</v>
      </c>
      <c r="N427" s="61">
        <f t="shared" ref="N427" si="258">M427/G427</f>
        <v>0</v>
      </c>
    </row>
    <row r="428" spans="1:14" ht="39" hidden="1" customHeight="1" x14ac:dyDescent="0.2">
      <c r="A428" s="11" t="s">
        <v>808</v>
      </c>
      <c r="B428" s="11" t="s">
        <v>216</v>
      </c>
      <c r="C428" s="12" t="s">
        <v>31</v>
      </c>
      <c r="D428" s="13">
        <v>247.89</v>
      </c>
      <c r="E428" s="13">
        <f>[1]CPUs!I3609</f>
        <v>3.5169600000000001</v>
      </c>
      <c r="F428" s="13">
        <v>4.3480176479999999</v>
      </c>
      <c r="G428" s="13">
        <f>D428*F428</f>
        <v>1077.8300947627199</v>
      </c>
      <c r="H428" s="13">
        <v>0</v>
      </c>
      <c r="I428" s="13">
        <v>0</v>
      </c>
      <c r="J428" s="13">
        <f>H428+I428</f>
        <v>0</v>
      </c>
      <c r="K428" s="13">
        <f>H428*F428</f>
        <v>0</v>
      </c>
      <c r="L428" s="13">
        <f>I428*F428</f>
        <v>0</v>
      </c>
      <c r="M428" s="13">
        <f>J428*F428</f>
        <v>0</v>
      </c>
      <c r="N428" s="62">
        <f t="shared" si="240"/>
        <v>0</v>
      </c>
    </row>
    <row r="429" spans="1:14" ht="39" hidden="1" customHeight="1" x14ac:dyDescent="0.2">
      <c r="A429" s="11" t="s">
        <v>809</v>
      </c>
      <c r="B429" s="11" t="s">
        <v>810</v>
      </c>
      <c r="C429" s="12" t="s">
        <v>31</v>
      </c>
      <c r="D429" s="13">
        <v>247.89</v>
      </c>
      <c r="E429" s="13">
        <f>[1]CPUs!I3618</f>
        <v>14.465938911999999</v>
      </c>
      <c r="F429" s="13">
        <v>17.884240276905597</v>
      </c>
      <c r="G429" s="13">
        <f t="shared" ref="G429:G432" si="259">D429*F429</f>
        <v>4433.3243222421279</v>
      </c>
      <c r="H429" s="13">
        <v>0</v>
      </c>
      <c r="I429" s="13">
        <v>0</v>
      </c>
      <c r="J429" s="13">
        <f>H429+I429</f>
        <v>0</v>
      </c>
      <c r="K429" s="13">
        <f>H429*F429</f>
        <v>0</v>
      </c>
      <c r="L429" s="13">
        <f>I429*F429</f>
        <v>0</v>
      </c>
      <c r="M429" s="13">
        <f>J429*F429</f>
        <v>0</v>
      </c>
      <c r="N429" s="62">
        <f t="shared" si="240"/>
        <v>0</v>
      </c>
    </row>
    <row r="430" spans="1:14" ht="39" hidden="1" customHeight="1" x14ac:dyDescent="0.2">
      <c r="A430" s="11" t="s">
        <v>811</v>
      </c>
      <c r="B430" s="11" t="s">
        <v>812</v>
      </c>
      <c r="C430" s="12" t="s">
        <v>31</v>
      </c>
      <c r="D430" s="13">
        <v>247.89</v>
      </c>
      <c r="E430" s="13">
        <f>[1]CPUs!I3627</f>
        <v>9.5299999999999994</v>
      </c>
      <c r="F430" s="13">
        <v>11.78</v>
      </c>
      <c r="G430" s="13">
        <f t="shared" si="259"/>
        <v>2920.1441999999997</v>
      </c>
      <c r="H430" s="13">
        <v>0</v>
      </c>
      <c r="I430" s="13">
        <v>0</v>
      </c>
      <c r="J430" s="13">
        <f>H430+I430</f>
        <v>0</v>
      </c>
      <c r="K430" s="13">
        <f>H430*F430</f>
        <v>0</v>
      </c>
      <c r="L430" s="13">
        <f>I430*F430</f>
        <v>0</v>
      </c>
      <c r="M430" s="13">
        <f>J430*F430</f>
        <v>0</v>
      </c>
      <c r="N430" s="62">
        <f t="shared" si="240"/>
        <v>0</v>
      </c>
    </row>
    <row r="431" spans="1:14" ht="26.1" hidden="1" customHeight="1" x14ac:dyDescent="0.2">
      <c r="A431" s="11" t="s">
        <v>813</v>
      </c>
      <c r="B431" s="11" t="s">
        <v>814</v>
      </c>
      <c r="C431" s="12" t="s">
        <v>31</v>
      </c>
      <c r="D431" s="13">
        <v>605.35</v>
      </c>
      <c r="E431" s="13">
        <f>[1]CPUs!I3635</f>
        <v>38.657279999999993</v>
      </c>
      <c r="F431" s="13">
        <v>47.791995263999993</v>
      </c>
      <c r="G431" s="13">
        <f t="shared" si="259"/>
        <v>28930.884333062397</v>
      </c>
      <c r="H431" s="13">
        <v>0</v>
      </c>
      <c r="I431" s="13">
        <v>0</v>
      </c>
      <c r="J431" s="13">
        <f>H431+I431</f>
        <v>0</v>
      </c>
      <c r="K431" s="13">
        <f>H431*F431</f>
        <v>0</v>
      </c>
      <c r="L431" s="13">
        <f>I431*F431</f>
        <v>0</v>
      </c>
      <c r="M431" s="13">
        <f>J431*F431</f>
        <v>0</v>
      </c>
      <c r="N431" s="62">
        <f t="shared" si="240"/>
        <v>0</v>
      </c>
    </row>
    <row r="432" spans="1:14" ht="51.95" hidden="1" customHeight="1" x14ac:dyDescent="0.2">
      <c r="A432" s="11" t="s">
        <v>815</v>
      </c>
      <c r="B432" s="11" t="s">
        <v>816</v>
      </c>
      <c r="C432" s="12" t="s">
        <v>31</v>
      </c>
      <c r="D432" s="13">
        <v>8</v>
      </c>
      <c r="E432" s="13">
        <f>[1]CPUs!I3643</f>
        <v>40.98</v>
      </c>
      <c r="F432" s="13">
        <v>50.66</v>
      </c>
      <c r="G432" s="13">
        <f t="shared" si="259"/>
        <v>405.28</v>
      </c>
      <c r="H432" s="13">
        <v>0</v>
      </c>
      <c r="I432" s="13">
        <v>0</v>
      </c>
      <c r="J432" s="13">
        <f>H432+I432</f>
        <v>0</v>
      </c>
      <c r="K432" s="13">
        <f>H432*F432</f>
        <v>0</v>
      </c>
      <c r="L432" s="13">
        <f>I432*F432</f>
        <v>0</v>
      </c>
      <c r="M432" s="13">
        <f>J432*F432</f>
        <v>0</v>
      </c>
      <c r="N432" s="62">
        <f t="shared" si="240"/>
        <v>0</v>
      </c>
    </row>
    <row r="433" spans="1:14" ht="24" hidden="1" customHeight="1" x14ac:dyDescent="0.2">
      <c r="A433" s="16" t="s">
        <v>817</v>
      </c>
      <c r="B433" s="16" t="s">
        <v>818</v>
      </c>
      <c r="C433" s="16"/>
      <c r="D433" s="20"/>
      <c r="E433" s="19"/>
      <c r="F433" s="19"/>
      <c r="G433" s="20">
        <f t="shared" ref="G433" si="260">SUM(G434)</f>
        <v>21840.698364907501</v>
      </c>
      <c r="H433" s="20"/>
      <c r="I433" s="19"/>
      <c r="J433" s="20"/>
      <c r="K433" s="20">
        <f t="shared" ref="K433:L433" si="261">SUM(K434)</f>
        <v>0</v>
      </c>
      <c r="L433" s="20">
        <f t="shared" si="261"/>
        <v>0</v>
      </c>
      <c r="M433" s="20">
        <f>SUM(M434)</f>
        <v>0</v>
      </c>
      <c r="N433" s="61">
        <f t="shared" ref="N433" si="262">M433/G433</f>
        <v>0</v>
      </c>
    </row>
    <row r="434" spans="1:14" ht="24" hidden="1" customHeight="1" x14ac:dyDescent="0.2">
      <c r="A434" s="21" t="s">
        <v>819</v>
      </c>
      <c r="B434" s="21" t="s">
        <v>818</v>
      </c>
      <c r="C434" s="22" t="s">
        <v>31</v>
      </c>
      <c r="D434" s="23">
        <v>6160.83</v>
      </c>
      <c r="E434" s="23">
        <f>[1]CPUs!I3651</f>
        <v>2.8675000000000002</v>
      </c>
      <c r="F434" s="23">
        <v>3.5450902500000003</v>
      </c>
      <c r="G434" s="23">
        <f>(D434*F434)</f>
        <v>21840.698364907501</v>
      </c>
      <c r="H434" s="23">
        <v>0</v>
      </c>
      <c r="I434" s="23">
        <v>0</v>
      </c>
      <c r="J434" s="23">
        <f>H434+I434</f>
        <v>0</v>
      </c>
      <c r="K434" s="23">
        <f>H434*F434</f>
        <v>0</v>
      </c>
      <c r="L434" s="23">
        <f>I434*F434</f>
        <v>0</v>
      </c>
      <c r="M434" s="23">
        <f>J434*F434</f>
        <v>0</v>
      </c>
      <c r="N434" s="62">
        <f t="shared" si="240"/>
        <v>0</v>
      </c>
    </row>
    <row r="435" spans="1:14" ht="20.25" customHeight="1" x14ac:dyDescent="0.2">
      <c r="A435" s="153" t="s">
        <v>20</v>
      </c>
      <c r="B435" s="153"/>
      <c r="C435" s="153"/>
      <c r="D435" s="153"/>
      <c r="E435" s="153"/>
      <c r="F435" s="153"/>
      <c r="G435" s="24">
        <f>(G13+G18+G26+G29+G64+G82+G88+G92+G106+G117+G127+G134+G149+G151+G161+G163+G172+G229+G340+G345+G365+G370+G374+G382+G433)</f>
        <v>21389181.107551087</v>
      </c>
      <c r="H435" s="25"/>
      <c r="I435" s="25"/>
      <c r="J435" s="25"/>
      <c r="K435" s="24">
        <f>(K13+K18+K26+K29+K64+K82+K88+K92+K106+K117+K127+K134+K149+K151+K161+K163+K172+K229+K340+K345+K365+K370+K374+K382+K433)+0.04</f>
        <v>7995637.0454417588</v>
      </c>
      <c r="L435" s="24">
        <f>L13+L18+L26+L29+L64+L82+L88+L92+L106+L117+L127+L134+L149+L151+L161+L163+L172+L229+L340+L345+L365+L370+L374+L382+L433</f>
        <v>2090584.5331667576</v>
      </c>
      <c r="M435" s="24">
        <f>(M13+M18+M26+M29+M64+M82+M88+M92+M106+M117+M127+M134+M149+M151+M161+M163+M172+M229+M340+M345+M365+M370+M374+M382+M433)+0.02</f>
        <v>10086221.548608517</v>
      </c>
    </row>
    <row r="436" spans="1:14" ht="26.25" customHeight="1" x14ac:dyDescent="0.2">
      <c r="A436" s="26"/>
      <c r="B436" s="27"/>
      <c r="C436" s="26"/>
      <c r="D436" s="154"/>
      <c r="E436" s="155"/>
      <c r="F436" s="156"/>
      <c r="G436" s="155"/>
      <c r="H436" s="28"/>
      <c r="I436" s="26"/>
      <c r="J436" s="26"/>
      <c r="K436" s="28"/>
      <c r="L436" s="26"/>
      <c r="M436" s="26"/>
    </row>
    <row r="437" spans="1:14" x14ac:dyDescent="0.2">
      <c r="A437" s="26"/>
      <c r="B437" s="26"/>
      <c r="C437" s="26"/>
      <c r="D437" s="26"/>
      <c r="E437" s="26"/>
      <c r="F437" s="26"/>
      <c r="G437" s="26"/>
      <c r="H437" s="26"/>
      <c r="I437" s="26"/>
      <c r="J437" s="26"/>
      <c r="K437" s="26"/>
      <c r="L437" s="26"/>
      <c r="M437" s="26"/>
    </row>
    <row r="438" spans="1:14" x14ac:dyDescent="0.2">
      <c r="A438" s="157"/>
      <c r="B438" s="158"/>
      <c r="C438" s="158"/>
      <c r="D438" s="158"/>
      <c r="E438" s="158"/>
      <c r="F438" s="158"/>
      <c r="G438" s="158"/>
      <c r="H438" s="29"/>
      <c r="I438" s="29"/>
      <c r="J438" s="29"/>
      <c r="K438" s="271"/>
      <c r="L438" s="29"/>
      <c r="M438" s="29"/>
    </row>
    <row r="439" spans="1:14" x14ac:dyDescent="0.2">
      <c r="A439" s="29"/>
      <c r="B439" s="29"/>
      <c r="C439" s="29"/>
      <c r="D439" s="29"/>
      <c r="E439" s="29"/>
      <c r="F439" s="29"/>
      <c r="G439" s="29"/>
      <c r="H439" s="29"/>
      <c r="I439" s="29"/>
      <c r="J439" s="29"/>
      <c r="K439" s="29"/>
      <c r="L439" s="29"/>
      <c r="M439" s="29"/>
    </row>
  </sheetData>
  <mergeCells count="33">
    <mergeCell ref="A5:G5"/>
    <mergeCell ref="H5:J5"/>
    <mergeCell ref="K5:M5"/>
    <mergeCell ref="A1:A2"/>
    <mergeCell ref="C1:D1"/>
    <mergeCell ref="E1:F1"/>
    <mergeCell ref="C2:D2"/>
    <mergeCell ref="E2:F2"/>
    <mergeCell ref="A3:G3"/>
    <mergeCell ref="H3:J3"/>
    <mergeCell ref="K3:M3"/>
    <mergeCell ref="A4:G4"/>
    <mergeCell ref="H4:J4"/>
    <mergeCell ref="K4:M4"/>
    <mergeCell ref="A6:G6"/>
    <mergeCell ref="H6:J6"/>
    <mergeCell ref="K6:M6"/>
    <mergeCell ref="A7:G7"/>
    <mergeCell ref="H7:J7"/>
    <mergeCell ref="K7:M7"/>
    <mergeCell ref="H8:M8"/>
    <mergeCell ref="A9:M9"/>
    <mergeCell ref="A11:A12"/>
    <mergeCell ref="B11:B12"/>
    <mergeCell ref="C11:C12"/>
    <mergeCell ref="D11:G11"/>
    <mergeCell ref="H11:J11"/>
    <mergeCell ref="K11:M11"/>
    <mergeCell ref="A435:F435"/>
    <mergeCell ref="D436:E436"/>
    <mergeCell ref="F436:G436"/>
    <mergeCell ref="A438:G438"/>
    <mergeCell ref="A8:G8"/>
  </mergeCells>
  <phoneticPr fontId="18" type="noConversion"/>
  <printOptions horizontalCentered="1"/>
  <pageMargins left="0.39370078740157483" right="0.39370078740157483" top="0.39370078740157483" bottom="0.94488188976377963" header="0.51181102362204722" footer="0.31496062992125984"/>
  <pageSetup paperSize="9" scale="60" fitToHeight="0" orientation="landscape"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1F9C9-ACEF-42FB-A109-1C0B14706897}">
  <dimension ref="A1:G273"/>
  <sheetViews>
    <sheetView tabSelected="1" view="pageBreakPreview" topLeftCell="A214" zoomScale="90" zoomScaleNormal="95" zoomScaleSheetLayoutView="90" workbookViewId="0">
      <selection activeCell="E223" sqref="E223"/>
    </sheetView>
  </sheetViews>
  <sheetFormatPr defaultRowHeight="12.75" x14ac:dyDescent="0.2"/>
  <cols>
    <col min="1" max="1" width="16.25" style="35" customWidth="1"/>
    <col min="2" max="2" width="17.125" style="35" customWidth="1"/>
    <col min="3" max="3" width="19.5" style="35" customWidth="1"/>
    <col min="4" max="4" width="21.625" style="35" customWidth="1"/>
    <col min="5" max="5" width="18" style="42" customWidth="1"/>
    <col min="6" max="16384" width="9" style="33"/>
  </cols>
  <sheetData>
    <row r="1" spans="1:6" x14ac:dyDescent="0.2">
      <c r="A1" s="30"/>
      <c r="B1" s="31"/>
      <c r="C1" s="31"/>
      <c r="D1" s="31"/>
      <c r="E1" s="32"/>
    </row>
    <row r="2" spans="1:6" x14ac:dyDescent="0.2">
      <c r="A2" s="34"/>
      <c r="E2" s="36"/>
    </row>
    <row r="3" spans="1:6" x14ac:dyDescent="0.2">
      <c r="A3" s="34"/>
      <c r="E3" s="36"/>
    </row>
    <row r="4" spans="1:6" x14ac:dyDescent="0.2">
      <c r="A4" s="34"/>
      <c r="E4" s="36"/>
    </row>
    <row r="5" spans="1:6" x14ac:dyDescent="0.2">
      <c r="A5" s="38"/>
      <c r="B5" s="38"/>
      <c r="C5" s="39"/>
      <c r="D5" s="39"/>
      <c r="E5" s="76"/>
    </row>
    <row r="6" spans="1:6" x14ac:dyDescent="0.2">
      <c r="A6" s="38" t="s">
        <v>820</v>
      </c>
      <c r="B6" s="38"/>
      <c r="C6" s="39"/>
      <c r="D6" s="39"/>
      <c r="E6" s="76"/>
    </row>
    <row r="7" spans="1:6" x14ac:dyDescent="0.2">
      <c r="A7" s="38" t="s">
        <v>2</v>
      </c>
      <c r="B7" s="38"/>
      <c r="C7" s="39"/>
      <c r="D7" s="39"/>
      <c r="E7" s="76"/>
    </row>
    <row r="8" spans="1:6" x14ac:dyDescent="0.2">
      <c r="A8" s="38" t="s">
        <v>8</v>
      </c>
      <c r="B8" s="38"/>
      <c r="C8" s="39"/>
      <c r="D8" s="39"/>
      <c r="E8" s="76"/>
    </row>
    <row r="9" spans="1:6" x14ac:dyDescent="0.2">
      <c r="A9" s="37" t="s">
        <v>844</v>
      </c>
      <c r="B9" s="38"/>
      <c r="C9" s="39"/>
      <c r="D9" s="39"/>
      <c r="E9" s="76"/>
    </row>
    <row r="10" spans="1:6" ht="13.5" thickBot="1" x14ac:dyDescent="0.25">
      <c r="A10" s="77"/>
      <c r="B10" s="77"/>
      <c r="C10" s="77"/>
      <c r="D10" s="77"/>
      <c r="E10" s="77"/>
    </row>
    <row r="11" spans="1:6" s="43" customFormat="1" ht="21" customHeight="1" thickBot="1" x14ac:dyDescent="0.25">
      <c r="A11" s="208" t="s">
        <v>1105</v>
      </c>
      <c r="B11" s="209"/>
      <c r="C11" s="209"/>
      <c r="D11" s="209"/>
      <c r="E11" s="210"/>
    </row>
    <row r="12" spans="1:6" x14ac:dyDescent="0.2">
      <c r="A12" s="34"/>
      <c r="E12" s="36"/>
    </row>
    <row r="13" spans="1:6" ht="17.25" customHeight="1" x14ac:dyDescent="0.2">
      <c r="A13" s="44" t="s">
        <v>832</v>
      </c>
      <c r="B13" s="199" t="s">
        <v>25</v>
      </c>
      <c r="C13" s="199"/>
      <c r="D13" s="199"/>
      <c r="E13" s="199"/>
    </row>
    <row r="14" spans="1:6" s="43" customFormat="1" ht="18.75" customHeight="1" x14ac:dyDescent="0.2">
      <c r="A14" s="45" t="s">
        <v>833</v>
      </c>
      <c r="B14" s="211" t="s">
        <v>27</v>
      </c>
      <c r="C14" s="212"/>
      <c r="D14" s="212"/>
      <c r="E14" s="213"/>
      <c r="F14" s="43" t="s">
        <v>1041</v>
      </c>
    </row>
    <row r="15" spans="1:6" ht="15" customHeight="1" x14ac:dyDescent="0.2">
      <c r="A15" s="195" t="s">
        <v>840</v>
      </c>
      <c r="B15" s="195"/>
      <c r="C15" s="195"/>
      <c r="D15" s="188"/>
      <c r="E15" s="54">
        <v>1</v>
      </c>
    </row>
    <row r="16" spans="1:6" ht="15" customHeight="1" x14ac:dyDescent="0.2">
      <c r="A16" s="195" t="s">
        <v>841</v>
      </c>
      <c r="B16" s="195"/>
      <c r="C16" s="195"/>
      <c r="D16" s="188"/>
      <c r="E16" s="54">
        <v>11</v>
      </c>
    </row>
    <row r="17" spans="1:6" ht="15" customHeight="1" x14ac:dyDescent="0.2">
      <c r="A17" s="195" t="s">
        <v>1074</v>
      </c>
      <c r="B17" s="195"/>
      <c r="C17" s="195"/>
      <c r="D17" s="188"/>
      <c r="E17" s="54">
        <v>8</v>
      </c>
    </row>
    <row r="18" spans="1:6" ht="15" customHeight="1" x14ac:dyDescent="0.2">
      <c r="A18" s="197" t="s">
        <v>1075</v>
      </c>
      <c r="B18" s="197"/>
      <c r="C18" s="197"/>
      <c r="D18" s="190"/>
      <c r="E18" s="108">
        <v>1</v>
      </c>
    </row>
    <row r="19" spans="1:6" ht="14.25" customHeight="1" x14ac:dyDescent="0.2">
      <c r="A19" s="34"/>
      <c r="E19" s="36"/>
    </row>
    <row r="20" spans="1:6" ht="17.25" customHeight="1" x14ac:dyDescent="0.2">
      <c r="A20" s="44" t="s">
        <v>879</v>
      </c>
      <c r="B20" s="199" t="s">
        <v>37</v>
      </c>
      <c r="C20" s="199"/>
      <c r="D20" s="199"/>
      <c r="E20" s="199"/>
    </row>
    <row r="21" spans="1:6" s="43" customFormat="1" ht="26.25" customHeight="1" x14ac:dyDescent="0.2">
      <c r="A21" s="45" t="s">
        <v>880</v>
      </c>
      <c r="B21" s="198" t="s">
        <v>39</v>
      </c>
      <c r="C21" s="198"/>
      <c r="D21" s="198"/>
      <c r="E21" s="198"/>
      <c r="F21" s="43" t="s">
        <v>1041</v>
      </c>
    </row>
    <row r="22" spans="1:6" ht="14.25" customHeight="1" x14ac:dyDescent="0.2">
      <c r="A22" s="188" t="s">
        <v>898</v>
      </c>
      <c r="B22" s="189"/>
      <c r="C22" s="189"/>
      <c r="D22" s="189"/>
      <c r="E22" s="84">
        <f>'2.0'!E16</f>
        <v>31.439999999999998</v>
      </c>
    </row>
    <row r="23" spans="1:6" ht="14.25" customHeight="1" x14ac:dyDescent="0.2">
      <c r="A23" s="188" t="s">
        <v>882</v>
      </c>
      <c r="B23" s="189"/>
      <c r="C23" s="189"/>
      <c r="D23" s="189"/>
      <c r="E23" s="84">
        <v>31.44</v>
      </c>
    </row>
    <row r="24" spans="1:6" ht="14.25" customHeight="1" x14ac:dyDescent="0.2">
      <c r="A24" s="188" t="s">
        <v>1106</v>
      </c>
      <c r="B24" s="189"/>
      <c r="C24" s="189"/>
      <c r="D24" s="189"/>
      <c r="E24" s="84">
        <f>'2.0'!E18</f>
        <v>18</v>
      </c>
    </row>
    <row r="25" spans="1:6" ht="14.25" customHeight="1" x14ac:dyDescent="0.2">
      <c r="A25" s="190" t="s">
        <v>1168</v>
      </c>
      <c r="B25" s="191"/>
      <c r="C25" s="191"/>
      <c r="D25" s="191"/>
      <c r="E25" s="86">
        <f>E22-E24</f>
        <v>13.439999999999998</v>
      </c>
    </row>
    <row r="26" spans="1:6" x14ac:dyDescent="0.2">
      <c r="A26" s="81"/>
      <c r="B26" s="82"/>
      <c r="C26" s="82"/>
      <c r="E26" s="83"/>
    </row>
    <row r="27" spans="1:6" s="43" customFormat="1" ht="30" customHeight="1" x14ac:dyDescent="0.2">
      <c r="A27" s="45" t="s">
        <v>883</v>
      </c>
      <c r="B27" s="198" t="s">
        <v>41</v>
      </c>
      <c r="C27" s="198"/>
      <c r="D27" s="198"/>
      <c r="E27" s="198"/>
      <c r="F27" s="43" t="s">
        <v>1041</v>
      </c>
    </row>
    <row r="28" spans="1:6" ht="14.25" customHeight="1" x14ac:dyDescent="0.2">
      <c r="A28" s="188" t="s">
        <v>900</v>
      </c>
      <c r="B28" s="189"/>
      <c r="C28" s="189"/>
      <c r="D28" s="189"/>
      <c r="E28" s="84">
        <f>'2.0'!E24</f>
        <v>17.04</v>
      </c>
    </row>
    <row r="29" spans="1:6" ht="14.25" customHeight="1" x14ac:dyDescent="0.2">
      <c r="A29" s="188" t="s">
        <v>885</v>
      </c>
      <c r="B29" s="189"/>
      <c r="C29" s="189"/>
      <c r="D29" s="189"/>
      <c r="E29" s="84">
        <v>17.04</v>
      </c>
    </row>
    <row r="30" spans="1:6" ht="14.25" customHeight="1" x14ac:dyDescent="0.2">
      <c r="A30" s="188" t="s">
        <v>899</v>
      </c>
      <c r="B30" s="189"/>
      <c r="C30" s="189"/>
      <c r="D30" s="189"/>
      <c r="E30" s="84">
        <f>'2.0'!E26</f>
        <v>15</v>
      </c>
    </row>
    <row r="31" spans="1:6" ht="14.25" customHeight="1" x14ac:dyDescent="0.2">
      <c r="A31" s="190" t="s">
        <v>1167</v>
      </c>
      <c r="B31" s="191"/>
      <c r="C31" s="191"/>
      <c r="D31" s="191"/>
      <c r="E31" s="86">
        <f>E28-E30</f>
        <v>2.0399999999999991</v>
      </c>
    </row>
    <row r="32" spans="1:6" x14ac:dyDescent="0.2">
      <c r="A32" s="81"/>
      <c r="B32" s="82"/>
      <c r="C32" s="82"/>
      <c r="E32" s="83"/>
    </row>
    <row r="33" spans="1:6" ht="17.25" customHeight="1" x14ac:dyDescent="0.2">
      <c r="A33" s="44" t="s">
        <v>889</v>
      </c>
      <c r="B33" s="199" t="s">
        <v>54</v>
      </c>
      <c r="C33" s="199"/>
      <c r="D33" s="199"/>
      <c r="E33" s="199"/>
    </row>
    <row r="34" spans="1:6" s="43" customFormat="1" ht="26.25" customHeight="1" x14ac:dyDescent="0.2">
      <c r="A34" s="45" t="s">
        <v>890</v>
      </c>
      <c r="B34" s="198" t="s">
        <v>891</v>
      </c>
      <c r="C34" s="198"/>
      <c r="D34" s="198"/>
      <c r="E34" s="198"/>
      <c r="F34" s="43" t="s">
        <v>1041</v>
      </c>
    </row>
    <row r="35" spans="1:6" ht="14.25" customHeight="1" x14ac:dyDescent="0.2">
      <c r="A35" s="188" t="s">
        <v>1107</v>
      </c>
      <c r="B35" s="189"/>
      <c r="C35" s="189"/>
      <c r="D35" s="189"/>
      <c r="E35" s="84">
        <f>'3.0'!E18</f>
        <v>18.738000000000003</v>
      </c>
    </row>
    <row r="36" spans="1:6" ht="14.25" customHeight="1" x14ac:dyDescent="0.2">
      <c r="A36" s="188" t="s">
        <v>895</v>
      </c>
      <c r="B36" s="189"/>
      <c r="C36" s="189"/>
      <c r="D36" s="189"/>
      <c r="E36" s="84">
        <v>18.739999999999998</v>
      </c>
    </row>
    <row r="37" spans="1:6" ht="14.25" customHeight="1" x14ac:dyDescent="0.2">
      <c r="A37" s="188" t="s">
        <v>902</v>
      </c>
      <c r="B37" s="189"/>
      <c r="C37" s="189"/>
      <c r="D37" s="189"/>
      <c r="E37" s="84">
        <v>17.100000000000001</v>
      </c>
    </row>
    <row r="38" spans="1:6" ht="14.25" customHeight="1" x14ac:dyDescent="0.2">
      <c r="A38" s="190" t="s">
        <v>1169</v>
      </c>
      <c r="B38" s="191"/>
      <c r="C38" s="191"/>
      <c r="D38" s="191"/>
      <c r="E38" s="86">
        <f>E35-E37</f>
        <v>1.6380000000000017</v>
      </c>
    </row>
    <row r="39" spans="1:6" x14ac:dyDescent="0.2">
      <c r="A39" s="81"/>
      <c r="B39" s="82"/>
      <c r="C39" s="82"/>
      <c r="E39" s="83"/>
    </row>
    <row r="40" spans="1:6" ht="17.25" customHeight="1" x14ac:dyDescent="0.2">
      <c r="A40" s="44" t="s">
        <v>904</v>
      </c>
      <c r="B40" s="199" t="s">
        <v>905</v>
      </c>
      <c r="C40" s="199"/>
      <c r="D40" s="199"/>
      <c r="E40" s="199"/>
    </row>
    <row r="41" spans="1:6" s="43" customFormat="1" ht="19.5" customHeight="1" x14ac:dyDescent="0.2">
      <c r="A41" s="78" t="s">
        <v>906</v>
      </c>
      <c r="B41" s="202" t="s">
        <v>63</v>
      </c>
      <c r="C41" s="202"/>
      <c r="D41" s="202"/>
      <c r="E41" s="202"/>
    </row>
    <row r="42" spans="1:6" s="43" customFormat="1" ht="39.75" customHeight="1" x14ac:dyDescent="0.2">
      <c r="A42" s="45" t="s">
        <v>907</v>
      </c>
      <c r="B42" s="198" t="s">
        <v>908</v>
      </c>
      <c r="C42" s="198"/>
      <c r="D42" s="198"/>
      <c r="E42" s="198"/>
      <c r="F42" s="43" t="s">
        <v>1041</v>
      </c>
    </row>
    <row r="43" spans="1:6" ht="14.25" customHeight="1" x14ac:dyDescent="0.2">
      <c r="A43" s="188" t="s">
        <v>1014</v>
      </c>
      <c r="B43" s="189"/>
      <c r="C43" s="189"/>
      <c r="D43" s="206"/>
      <c r="E43" s="92">
        <f>'4.0'!E18</f>
        <v>164.1</v>
      </c>
    </row>
    <row r="44" spans="1:6" ht="14.25" customHeight="1" x14ac:dyDescent="0.2">
      <c r="A44" s="188" t="s">
        <v>911</v>
      </c>
      <c r="B44" s="189"/>
      <c r="C44" s="189"/>
      <c r="D44" s="206"/>
      <c r="E44" s="94">
        <f>Planilha!D31</f>
        <v>164.1</v>
      </c>
    </row>
    <row r="45" spans="1:6" ht="14.25" customHeight="1" x14ac:dyDescent="0.2">
      <c r="A45" s="188" t="s">
        <v>1015</v>
      </c>
      <c r="B45" s="189"/>
      <c r="C45" s="189"/>
      <c r="D45" s="206"/>
      <c r="E45" s="94">
        <f>'4.0'!E20</f>
        <v>150.12</v>
      </c>
    </row>
    <row r="46" spans="1:6" ht="14.25" customHeight="1" x14ac:dyDescent="0.2">
      <c r="A46" s="190" t="s">
        <v>1170</v>
      </c>
      <c r="B46" s="191"/>
      <c r="C46" s="191"/>
      <c r="D46" s="205"/>
      <c r="E46" s="124">
        <f>E43-E45</f>
        <v>13.97999999999999</v>
      </c>
    </row>
    <row r="47" spans="1:6" x14ac:dyDescent="0.2">
      <c r="A47" s="95"/>
      <c r="B47" s="96"/>
      <c r="C47" s="96"/>
      <c r="D47" s="64"/>
      <c r="E47" s="49"/>
    </row>
    <row r="48" spans="1:6" s="43" customFormat="1" ht="55.5" customHeight="1" x14ac:dyDescent="0.2">
      <c r="A48" s="45" t="s">
        <v>912</v>
      </c>
      <c r="B48" s="198" t="s">
        <v>913</v>
      </c>
      <c r="C48" s="198"/>
      <c r="D48" s="198"/>
      <c r="E48" s="198"/>
      <c r="F48" s="43" t="s">
        <v>1041</v>
      </c>
    </row>
    <row r="49" spans="1:6" ht="14.25" customHeight="1" x14ac:dyDescent="0.2">
      <c r="A49" s="188" t="s">
        <v>1016</v>
      </c>
      <c r="B49" s="189"/>
      <c r="C49" s="189"/>
      <c r="D49" s="206"/>
      <c r="E49" s="92">
        <f>'4.0'!E27</f>
        <v>3849.76</v>
      </c>
    </row>
    <row r="50" spans="1:6" ht="14.25" customHeight="1" x14ac:dyDescent="0.2">
      <c r="A50" s="188" t="s">
        <v>916</v>
      </c>
      <c r="B50" s="189"/>
      <c r="C50" s="189"/>
      <c r="D50" s="206"/>
      <c r="E50" s="92">
        <f>Planilha!D32</f>
        <v>3849.76</v>
      </c>
    </row>
    <row r="51" spans="1:6" ht="14.25" customHeight="1" x14ac:dyDescent="0.2">
      <c r="A51" s="193" t="s">
        <v>1172</v>
      </c>
      <c r="B51" s="194"/>
      <c r="C51" s="194"/>
      <c r="D51" s="207"/>
      <c r="E51" s="149">
        <f>'4.0'!E29</f>
        <v>2843.85</v>
      </c>
    </row>
    <row r="52" spans="1:6" ht="14.25" customHeight="1" x14ac:dyDescent="0.2">
      <c r="A52" s="190" t="s">
        <v>1171</v>
      </c>
      <c r="B52" s="191"/>
      <c r="C52" s="191"/>
      <c r="D52" s="205"/>
      <c r="E52" s="124">
        <f>E49-E51</f>
        <v>1005.9100000000003</v>
      </c>
    </row>
    <row r="53" spans="1:6" x14ac:dyDescent="0.2">
      <c r="A53" s="46"/>
      <c r="B53" s="47"/>
      <c r="C53" s="47"/>
      <c r="D53" s="48"/>
      <c r="E53" s="49"/>
    </row>
    <row r="54" spans="1:6" s="43" customFormat="1" ht="33.75" customHeight="1" x14ac:dyDescent="0.2">
      <c r="A54" s="45" t="s">
        <v>917</v>
      </c>
      <c r="B54" s="198" t="s">
        <v>918</v>
      </c>
      <c r="C54" s="198"/>
      <c r="D54" s="198"/>
      <c r="E54" s="198"/>
      <c r="F54" s="43" t="s">
        <v>1041</v>
      </c>
    </row>
    <row r="55" spans="1:6" ht="14.25" customHeight="1" x14ac:dyDescent="0.2">
      <c r="A55" s="188" t="s">
        <v>1178</v>
      </c>
      <c r="B55" s="189"/>
      <c r="C55" s="189"/>
      <c r="D55" s="189"/>
      <c r="E55" s="54">
        <f>'4.0'!E38</f>
        <v>70365.42372975187</v>
      </c>
    </row>
    <row r="56" spans="1:6" ht="14.25" customHeight="1" x14ac:dyDescent="0.2">
      <c r="A56" s="188" t="s">
        <v>922</v>
      </c>
      <c r="B56" s="189"/>
      <c r="C56" s="189"/>
      <c r="D56" s="189"/>
      <c r="E56" s="54">
        <f>'4.0'!E41</f>
        <v>70365.421950000004</v>
      </c>
    </row>
    <row r="57" spans="1:6" ht="14.25" customHeight="1" x14ac:dyDescent="0.2">
      <c r="A57" s="188" t="s">
        <v>1173</v>
      </c>
      <c r="B57" s="189"/>
      <c r="C57" s="189"/>
      <c r="D57" s="189"/>
      <c r="E57" s="54">
        <f>'4.0'!E40</f>
        <v>4587.6000000000004</v>
      </c>
    </row>
    <row r="58" spans="1:6" ht="14.25" customHeight="1" x14ac:dyDescent="0.2">
      <c r="A58" s="190" t="s">
        <v>1174</v>
      </c>
      <c r="B58" s="191"/>
      <c r="C58" s="191"/>
      <c r="D58" s="191"/>
      <c r="E58" s="125">
        <f>E55-E57</f>
        <v>65777.823729751864</v>
      </c>
    </row>
    <row r="59" spans="1:6" ht="14.25" customHeight="1" x14ac:dyDescent="0.2">
      <c r="A59" s="99"/>
      <c r="B59" s="59"/>
      <c r="C59" s="59"/>
      <c r="D59" s="59"/>
      <c r="E59" s="100"/>
    </row>
    <row r="60" spans="1:6" s="43" customFormat="1" ht="39.75" customHeight="1" x14ac:dyDescent="0.2">
      <c r="A60" s="45" t="s">
        <v>923</v>
      </c>
      <c r="B60" s="198" t="s">
        <v>924</v>
      </c>
      <c r="C60" s="198"/>
      <c r="D60" s="198"/>
      <c r="E60" s="198"/>
      <c r="F60" s="43" t="s">
        <v>1041</v>
      </c>
    </row>
    <row r="61" spans="1:6" ht="14.25" customHeight="1" x14ac:dyDescent="0.2">
      <c r="A61" s="188" t="s">
        <v>1177</v>
      </c>
      <c r="B61" s="189"/>
      <c r="C61" s="189"/>
      <c r="D61" s="189"/>
      <c r="E61" s="105">
        <f>'4.0'!E48</f>
        <v>5304.4797200000003</v>
      </c>
    </row>
    <row r="62" spans="1:6" ht="14.25" customHeight="1" x14ac:dyDescent="0.2">
      <c r="A62" s="188" t="s">
        <v>1088</v>
      </c>
      <c r="B62" s="189"/>
      <c r="C62" s="189"/>
      <c r="D62" s="189"/>
      <c r="E62" s="105">
        <f>Planilha!D34</f>
        <v>5304.4779500000004</v>
      </c>
    </row>
    <row r="63" spans="1:6" ht="14.25" customHeight="1" x14ac:dyDescent="0.2">
      <c r="A63" s="193" t="s">
        <v>1181</v>
      </c>
      <c r="B63" s="194"/>
      <c r="C63" s="194"/>
      <c r="D63" s="194"/>
      <c r="E63" s="150">
        <f>Planilha!H34</f>
        <v>476.73899999999998</v>
      </c>
    </row>
    <row r="64" spans="1:6" ht="14.25" customHeight="1" x14ac:dyDescent="0.2">
      <c r="A64" s="190" t="s">
        <v>1175</v>
      </c>
      <c r="B64" s="191"/>
      <c r="C64" s="191"/>
      <c r="D64" s="191"/>
      <c r="E64" s="126">
        <f>E61-E63</f>
        <v>4827.7407200000007</v>
      </c>
    </row>
    <row r="65" spans="1:6" x14ac:dyDescent="0.2">
      <c r="A65" s="203"/>
      <c r="B65" s="204"/>
      <c r="C65" s="70"/>
      <c r="D65" s="70"/>
      <c r="E65" s="106"/>
    </row>
    <row r="66" spans="1:6" s="43" customFormat="1" ht="19.5" customHeight="1" x14ac:dyDescent="0.2">
      <c r="A66" s="78" t="s">
        <v>926</v>
      </c>
      <c r="B66" s="202" t="s">
        <v>74</v>
      </c>
      <c r="C66" s="202"/>
      <c r="D66" s="202"/>
      <c r="E66" s="202"/>
    </row>
    <row r="67" spans="1:6" s="43" customFormat="1" ht="33.75" customHeight="1" x14ac:dyDescent="0.2">
      <c r="A67" s="45" t="s">
        <v>927</v>
      </c>
      <c r="B67" s="198" t="s">
        <v>928</v>
      </c>
      <c r="C67" s="198"/>
      <c r="D67" s="198"/>
      <c r="E67" s="198"/>
      <c r="F67" s="43" t="s">
        <v>1041</v>
      </c>
    </row>
    <row r="68" spans="1:6" x14ac:dyDescent="0.2">
      <c r="A68" s="195" t="s">
        <v>1179</v>
      </c>
      <c r="B68" s="195"/>
      <c r="C68" s="195"/>
      <c r="D68" s="188"/>
      <c r="E68" s="54">
        <f>'4.0'!E59</f>
        <v>3789</v>
      </c>
    </row>
    <row r="69" spans="1:6" x14ac:dyDescent="0.2">
      <c r="A69" s="195" t="s">
        <v>932</v>
      </c>
      <c r="B69" s="195"/>
      <c r="C69" s="195"/>
      <c r="D69" s="188"/>
      <c r="E69" s="54">
        <f>Planilha!D36</f>
        <v>3789</v>
      </c>
    </row>
    <row r="70" spans="1:6" x14ac:dyDescent="0.2">
      <c r="A70" s="196" t="s">
        <v>1180</v>
      </c>
      <c r="B70" s="196"/>
      <c r="C70" s="196"/>
      <c r="D70" s="193"/>
      <c r="E70" s="151">
        <f>Planilha!H36</f>
        <v>3385</v>
      </c>
    </row>
    <row r="71" spans="1:6" ht="15" customHeight="1" x14ac:dyDescent="0.2">
      <c r="A71" s="197" t="s">
        <v>1176</v>
      </c>
      <c r="B71" s="197"/>
      <c r="C71" s="197"/>
      <c r="D71" s="190"/>
      <c r="E71" s="125">
        <f>E68-E70</f>
        <v>404</v>
      </c>
    </row>
    <row r="72" spans="1:6" x14ac:dyDescent="0.2">
      <c r="A72" s="34"/>
      <c r="E72" s="36"/>
    </row>
    <row r="73" spans="1:6" s="43" customFormat="1" ht="25.5" customHeight="1" x14ac:dyDescent="0.2">
      <c r="A73" s="45" t="s">
        <v>933</v>
      </c>
      <c r="B73" s="198" t="s">
        <v>81</v>
      </c>
      <c r="C73" s="198"/>
      <c r="D73" s="198"/>
      <c r="E73" s="198"/>
      <c r="F73" s="43" t="s">
        <v>1041</v>
      </c>
    </row>
    <row r="74" spans="1:6" x14ac:dyDescent="0.2">
      <c r="A74" s="188" t="s">
        <v>1183</v>
      </c>
      <c r="B74" s="189"/>
      <c r="C74" s="189"/>
      <c r="D74" s="189"/>
      <c r="E74" s="107">
        <f>'4.0'!E67</f>
        <v>505.3</v>
      </c>
    </row>
    <row r="75" spans="1:6" x14ac:dyDescent="0.2">
      <c r="A75" s="188" t="s">
        <v>1024</v>
      </c>
      <c r="B75" s="189"/>
      <c r="C75" s="189"/>
      <c r="D75" s="189"/>
      <c r="E75" s="54">
        <f>Planilha!D38</f>
        <v>505.3</v>
      </c>
    </row>
    <row r="76" spans="1:6" x14ac:dyDescent="0.2">
      <c r="A76" s="188" t="s">
        <v>1025</v>
      </c>
      <c r="B76" s="189"/>
      <c r="C76" s="189"/>
      <c r="D76" s="189"/>
      <c r="E76" s="54">
        <f>Planilha!H38</f>
        <v>244.23</v>
      </c>
    </row>
    <row r="77" spans="1:6" x14ac:dyDescent="0.2">
      <c r="A77" s="190" t="s">
        <v>1182</v>
      </c>
      <c r="B77" s="191"/>
      <c r="C77" s="191"/>
      <c r="D77" s="191"/>
      <c r="E77" s="125">
        <f>E74-E76</f>
        <v>261.07000000000005</v>
      </c>
    </row>
    <row r="78" spans="1:6" x14ac:dyDescent="0.2">
      <c r="A78" s="34"/>
      <c r="E78" s="36" t="s">
        <v>935</v>
      </c>
    </row>
    <row r="79" spans="1:6" s="43" customFormat="1" ht="19.5" customHeight="1" x14ac:dyDescent="0.2">
      <c r="A79" s="78" t="s">
        <v>936</v>
      </c>
      <c r="B79" s="202" t="s">
        <v>83</v>
      </c>
      <c r="C79" s="202"/>
      <c r="D79" s="202"/>
      <c r="E79" s="202"/>
    </row>
    <row r="80" spans="1:6" s="43" customFormat="1" ht="19.5" customHeight="1" x14ac:dyDescent="0.2">
      <c r="A80" s="45" t="s">
        <v>937</v>
      </c>
      <c r="B80" s="198" t="s">
        <v>85</v>
      </c>
      <c r="C80" s="198"/>
      <c r="D80" s="198"/>
      <c r="E80" s="198"/>
    </row>
    <row r="81" spans="1:7" s="43" customFormat="1" ht="40.5" customHeight="1" x14ac:dyDescent="0.2">
      <c r="A81" s="45" t="s">
        <v>1260</v>
      </c>
      <c r="B81" s="198" t="s">
        <v>87</v>
      </c>
      <c r="C81" s="198"/>
      <c r="D81" s="198"/>
      <c r="E81" s="198"/>
      <c r="F81" s="43" t="s">
        <v>1041</v>
      </c>
      <c r="G81" s="43" t="s">
        <v>1266</v>
      </c>
    </row>
    <row r="82" spans="1:7" ht="15" customHeight="1" x14ac:dyDescent="0.2">
      <c r="A82" s="195" t="s">
        <v>1263</v>
      </c>
      <c r="B82" s="195"/>
      <c r="C82" s="195"/>
      <c r="D82" s="188"/>
      <c r="E82" s="54">
        <f>'4.0'!E78</f>
        <v>686.4</v>
      </c>
    </row>
    <row r="83" spans="1:7" ht="15" customHeight="1" x14ac:dyDescent="0.2">
      <c r="A83" s="195" t="s">
        <v>1262</v>
      </c>
      <c r="B83" s="195"/>
      <c r="C83" s="195"/>
      <c r="D83" s="188"/>
      <c r="E83" s="54">
        <f>Planilha!D41</f>
        <v>686.4</v>
      </c>
    </row>
    <row r="84" spans="1:7" ht="15" customHeight="1" x14ac:dyDescent="0.2">
      <c r="A84" s="195" t="s">
        <v>1264</v>
      </c>
      <c r="B84" s="195"/>
      <c r="C84" s="195"/>
      <c r="D84" s="188"/>
      <c r="E84" s="151">
        <f>'4.0'!E80</f>
        <v>624</v>
      </c>
    </row>
    <row r="85" spans="1:7" ht="15" customHeight="1" x14ac:dyDescent="0.2">
      <c r="A85" s="197" t="s">
        <v>1265</v>
      </c>
      <c r="B85" s="197"/>
      <c r="C85" s="197"/>
      <c r="D85" s="190"/>
      <c r="E85" s="125">
        <f>E82-E84</f>
        <v>62.399999999999977</v>
      </c>
    </row>
    <row r="86" spans="1:7" x14ac:dyDescent="0.2">
      <c r="A86" s="34"/>
      <c r="E86" s="36"/>
    </row>
    <row r="87" spans="1:7" s="43" customFormat="1" ht="33" customHeight="1" x14ac:dyDescent="0.2">
      <c r="A87" s="45" t="s">
        <v>940</v>
      </c>
      <c r="B87" s="198" t="s">
        <v>89</v>
      </c>
      <c r="C87" s="198"/>
      <c r="D87" s="198"/>
      <c r="E87" s="198"/>
      <c r="F87" s="43" t="s">
        <v>1041</v>
      </c>
    </row>
    <row r="88" spans="1:7" ht="15" customHeight="1" x14ac:dyDescent="0.2">
      <c r="A88" s="195" t="s">
        <v>1185</v>
      </c>
      <c r="B88" s="195"/>
      <c r="C88" s="195"/>
      <c r="D88" s="188"/>
      <c r="E88" s="54">
        <f>'4.0'!E88</f>
        <v>183.89160000000001</v>
      </c>
    </row>
    <row r="89" spans="1:7" ht="15" customHeight="1" x14ac:dyDescent="0.2">
      <c r="A89" s="195" t="s">
        <v>942</v>
      </c>
      <c r="B89" s="195"/>
      <c r="C89" s="195"/>
      <c r="D89" s="188"/>
      <c r="E89" s="54">
        <f>Planilha!D42</f>
        <v>183.89160000000001</v>
      </c>
    </row>
    <row r="90" spans="1:7" ht="15" customHeight="1" x14ac:dyDescent="0.2">
      <c r="A90" s="196" t="s">
        <v>1054</v>
      </c>
      <c r="B90" s="196"/>
      <c r="C90" s="196"/>
      <c r="D90" s="193"/>
      <c r="E90" s="151">
        <f>Planilha!H42</f>
        <v>149.9093</v>
      </c>
    </row>
    <row r="91" spans="1:7" ht="15" customHeight="1" x14ac:dyDescent="0.2">
      <c r="A91" s="197" t="s">
        <v>1184</v>
      </c>
      <c r="B91" s="197"/>
      <c r="C91" s="197"/>
      <c r="D91" s="190"/>
      <c r="E91" s="125">
        <f>E88-E90</f>
        <v>33.982300000000009</v>
      </c>
    </row>
    <row r="92" spans="1:7" x14ac:dyDescent="0.2">
      <c r="A92" s="34"/>
      <c r="E92" s="36"/>
    </row>
    <row r="93" spans="1:7" s="43" customFormat="1" ht="24" customHeight="1" x14ac:dyDescent="0.2">
      <c r="A93" s="45" t="s">
        <v>845</v>
      </c>
      <c r="B93" s="198" t="s">
        <v>710</v>
      </c>
      <c r="C93" s="198"/>
      <c r="D93" s="198"/>
      <c r="E93" s="198"/>
      <c r="F93" s="43" t="s">
        <v>1041</v>
      </c>
    </row>
    <row r="94" spans="1:7" ht="15" customHeight="1" x14ac:dyDescent="0.2">
      <c r="A94" s="195" t="s">
        <v>1034</v>
      </c>
      <c r="B94" s="195"/>
      <c r="C94" s="195"/>
      <c r="D94" s="188"/>
      <c r="E94" s="54">
        <f>'4.0'!E98</f>
        <v>174.32820000000004</v>
      </c>
    </row>
    <row r="95" spans="1:7" ht="15" customHeight="1" x14ac:dyDescent="0.2">
      <c r="A95" s="195" t="s">
        <v>946</v>
      </c>
      <c r="B95" s="195"/>
      <c r="C95" s="195"/>
      <c r="D95" s="188"/>
      <c r="E95" s="54">
        <f>Planilha!D43</f>
        <v>227.83130000000003</v>
      </c>
    </row>
    <row r="96" spans="1:7" ht="15" customHeight="1" x14ac:dyDescent="0.2">
      <c r="A96" s="196" t="s">
        <v>1073</v>
      </c>
      <c r="B96" s="196"/>
      <c r="C96" s="196"/>
      <c r="D96" s="193"/>
      <c r="E96" s="151">
        <f>Planilha!H43</f>
        <v>0</v>
      </c>
    </row>
    <row r="97" spans="1:6" ht="15" customHeight="1" x14ac:dyDescent="0.2">
      <c r="A97" s="197" t="s">
        <v>1186</v>
      </c>
      <c r="B97" s="197"/>
      <c r="C97" s="197"/>
      <c r="D97" s="190"/>
      <c r="E97" s="125">
        <f>E94</f>
        <v>174.32820000000004</v>
      </c>
    </row>
    <row r="98" spans="1:6" x14ac:dyDescent="0.2">
      <c r="A98" s="34"/>
      <c r="E98" s="36"/>
    </row>
    <row r="99" spans="1:6" s="43" customFormat="1" ht="30.75" customHeight="1" x14ac:dyDescent="0.2">
      <c r="A99" s="45" t="s">
        <v>846</v>
      </c>
      <c r="B99" s="198" t="s">
        <v>1089</v>
      </c>
      <c r="C99" s="198"/>
      <c r="D99" s="198"/>
      <c r="E99" s="198"/>
      <c r="F99" s="43" t="s">
        <v>1041</v>
      </c>
    </row>
    <row r="100" spans="1:6" ht="15" customHeight="1" x14ac:dyDescent="0.2">
      <c r="A100" s="195" t="s">
        <v>1035</v>
      </c>
      <c r="B100" s="195"/>
      <c r="C100" s="195"/>
      <c r="D100" s="188"/>
      <c r="E100" s="54">
        <f>'4.0'!E107</f>
        <v>980</v>
      </c>
    </row>
    <row r="101" spans="1:6" ht="15" customHeight="1" x14ac:dyDescent="0.2">
      <c r="A101" s="195" t="s">
        <v>950</v>
      </c>
      <c r="B101" s="195"/>
      <c r="C101" s="195"/>
      <c r="D101" s="188"/>
      <c r="E101" s="54">
        <f>Planilha!D44</f>
        <v>980</v>
      </c>
    </row>
    <row r="102" spans="1:6" ht="15" customHeight="1" x14ac:dyDescent="0.2">
      <c r="A102" s="196" t="s">
        <v>1188</v>
      </c>
      <c r="B102" s="196"/>
      <c r="C102" s="196"/>
      <c r="D102" s="193"/>
      <c r="E102" s="151">
        <f>Planilha!H44</f>
        <v>0</v>
      </c>
    </row>
    <row r="103" spans="1:6" ht="15" customHeight="1" x14ac:dyDescent="0.2">
      <c r="A103" s="197" t="s">
        <v>1187</v>
      </c>
      <c r="B103" s="197"/>
      <c r="C103" s="197"/>
      <c r="D103" s="190"/>
      <c r="E103" s="125">
        <f>E100-E102</f>
        <v>980</v>
      </c>
    </row>
    <row r="104" spans="1:6" x14ac:dyDescent="0.2">
      <c r="A104" s="34"/>
      <c r="E104" s="36"/>
    </row>
    <row r="105" spans="1:6" s="43" customFormat="1" ht="24.75" customHeight="1" x14ac:dyDescent="0.2">
      <c r="A105" s="45" t="s">
        <v>848</v>
      </c>
      <c r="B105" s="198" t="s">
        <v>1090</v>
      </c>
      <c r="C105" s="198"/>
      <c r="D105" s="198"/>
      <c r="E105" s="198"/>
      <c r="F105" s="43" t="s">
        <v>1041</v>
      </c>
    </row>
    <row r="106" spans="1:6" ht="15" customHeight="1" x14ac:dyDescent="0.2">
      <c r="A106" s="195" t="s">
        <v>1038</v>
      </c>
      <c r="B106" s="195"/>
      <c r="C106" s="195"/>
      <c r="D106" s="188"/>
      <c r="E106" s="54">
        <f>'4.0'!E117</f>
        <v>964</v>
      </c>
    </row>
    <row r="107" spans="1:6" ht="15" customHeight="1" x14ac:dyDescent="0.2">
      <c r="A107" s="195" t="s">
        <v>953</v>
      </c>
      <c r="B107" s="195"/>
      <c r="C107" s="195"/>
      <c r="D107" s="188"/>
      <c r="E107" s="54">
        <f>Planilha!D45</f>
        <v>964</v>
      </c>
    </row>
    <row r="108" spans="1:6" ht="15" customHeight="1" x14ac:dyDescent="0.2">
      <c r="A108" s="196" t="s">
        <v>1039</v>
      </c>
      <c r="B108" s="196"/>
      <c r="C108" s="196"/>
      <c r="D108" s="193"/>
      <c r="E108" s="151">
        <f>Planilha!H45</f>
        <v>0</v>
      </c>
    </row>
    <row r="109" spans="1:6" ht="15" customHeight="1" x14ac:dyDescent="0.2">
      <c r="A109" s="197" t="s">
        <v>1189</v>
      </c>
      <c r="B109" s="197"/>
      <c r="C109" s="197"/>
      <c r="D109" s="190"/>
      <c r="E109" s="125">
        <f>E106-E108</f>
        <v>964</v>
      </c>
    </row>
    <row r="110" spans="1:6" x14ac:dyDescent="0.2">
      <c r="A110" s="34"/>
      <c r="E110" s="36"/>
    </row>
    <row r="111" spans="1:6" s="43" customFormat="1" ht="32.25" customHeight="1" x14ac:dyDescent="0.2">
      <c r="A111" s="45" t="s">
        <v>850</v>
      </c>
      <c r="B111" s="198" t="s">
        <v>1091</v>
      </c>
      <c r="C111" s="198"/>
      <c r="D111" s="198"/>
      <c r="E111" s="198"/>
      <c r="F111" s="43" t="s">
        <v>1041</v>
      </c>
    </row>
    <row r="112" spans="1:6" ht="14.25" customHeight="1" x14ac:dyDescent="0.2">
      <c r="A112" s="195" t="s">
        <v>1042</v>
      </c>
      <c r="B112" s="195"/>
      <c r="C112" s="195"/>
      <c r="D112" s="188"/>
      <c r="E112" s="54">
        <f>'4.0'!E126</f>
        <v>20</v>
      </c>
    </row>
    <row r="113" spans="1:6" ht="15" customHeight="1" x14ac:dyDescent="0.2">
      <c r="A113" s="195" t="s">
        <v>955</v>
      </c>
      <c r="B113" s="195"/>
      <c r="C113" s="195"/>
      <c r="D113" s="188"/>
      <c r="E113" s="54">
        <f>Planilha!D46</f>
        <v>29.918399999999998</v>
      </c>
    </row>
    <row r="114" spans="1:6" ht="15" customHeight="1" x14ac:dyDescent="0.2">
      <c r="A114" s="196" t="s">
        <v>1043</v>
      </c>
      <c r="B114" s="196"/>
      <c r="C114" s="196"/>
      <c r="D114" s="193"/>
      <c r="E114" s="151">
        <f>Planilha!H46</f>
        <v>0</v>
      </c>
    </row>
    <row r="115" spans="1:6" ht="15" customHeight="1" x14ac:dyDescent="0.2">
      <c r="A115" s="197" t="s">
        <v>1190</v>
      </c>
      <c r="B115" s="197"/>
      <c r="C115" s="197"/>
      <c r="D115" s="190"/>
      <c r="E115" s="125">
        <f>E112-E114</f>
        <v>20</v>
      </c>
    </row>
    <row r="116" spans="1:6" x14ac:dyDescent="0.2">
      <c r="A116" s="34"/>
      <c r="E116" s="36"/>
    </row>
    <row r="117" spans="1:6" s="43" customFormat="1" ht="19.5" customHeight="1" x14ac:dyDescent="0.2">
      <c r="A117" s="45" t="s">
        <v>956</v>
      </c>
      <c r="B117" s="198" t="s">
        <v>91</v>
      </c>
      <c r="C117" s="198"/>
      <c r="D117" s="198"/>
      <c r="E117" s="198"/>
    </row>
    <row r="118" spans="1:6" s="43" customFormat="1" ht="39.75" customHeight="1" x14ac:dyDescent="0.2">
      <c r="A118" s="45" t="s">
        <v>957</v>
      </c>
      <c r="B118" s="198" t="s">
        <v>95</v>
      </c>
      <c r="C118" s="198"/>
      <c r="D118" s="198"/>
      <c r="E118" s="198"/>
      <c r="F118" s="43" t="s">
        <v>1041</v>
      </c>
    </row>
    <row r="119" spans="1:6" ht="15" customHeight="1" x14ac:dyDescent="0.2">
      <c r="A119" s="195" t="s">
        <v>1046</v>
      </c>
      <c r="B119" s="195"/>
      <c r="C119" s="195"/>
      <c r="D119" s="188"/>
      <c r="E119" s="54">
        <f>'4.0'!E143</f>
        <v>155.2045</v>
      </c>
    </row>
    <row r="120" spans="1:6" ht="15" customHeight="1" x14ac:dyDescent="0.2">
      <c r="A120" s="195" t="s">
        <v>966</v>
      </c>
      <c r="B120" s="195"/>
      <c r="C120" s="195"/>
      <c r="D120" s="188"/>
      <c r="E120" s="54">
        <f>Planilha!D49</f>
        <v>162.87799999999999</v>
      </c>
    </row>
    <row r="121" spans="1:6" ht="15" customHeight="1" x14ac:dyDescent="0.2">
      <c r="A121" s="196" t="s">
        <v>1047</v>
      </c>
      <c r="B121" s="196"/>
      <c r="C121" s="196"/>
      <c r="D121" s="193"/>
      <c r="E121" s="151">
        <f>Planilha!H49</f>
        <v>52.5</v>
      </c>
    </row>
    <row r="122" spans="1:6" ht="15" customHeight="1" x14ac:dyDescent="0.2">
      <c r="A122" s="197" t="s">
        <v>1191</v>
      </c>
      <c r="B122" s="197"/>
      <c r="C122" s="197"/>
      <c r="D122" s="190"/>
      <c r="E122" s="125">
        <f>E119-E121</f>
        <v>102.7045</v>
      </c>
    </row>
    <row r="123" spans="1:6" x14ac:dyDescent="0.2">
      <c r="A123" s="34"/>
      <c r="E123" s="36"/>
    </row>
    <row r="124" spans="1:6" s="43" customFormat="1" ht="39.75" customHeight="1" x14ac:dyDescent="0.2">
      <c r="A124" s="45" t="s">
        <v>967</v>
      </c>
      <c r="B124" s="198" t="s">
        <v>97</v>
      </c>
      <c r="C124" s="198"/>
      <c r="D124" s="198"/>
      <c r="E124" s="198"/>
      <c r="F124" s="43" t="s">
        <v>1041</v>
      </c>
    </row>
    <row r="125" spans="1:6" ht="15" customHeight="1" x14ac:dyDescent="0.2">
      <c r="A125" s="195" t="s">
        <v>1048</v>
      </c>
      <c r="B125" s="195"/>
      <c r="C125" s="195"/>
      <c r="D125" s="188"/>
      <c r="E125" s="54">
        <f>'4.0'!E154</f>
        <v>982.94</v>
      </c>
    </row>
    <row r="126" spans="1:6" ht="15" customHeight="1" x14ac:dyDescent="0.2">
      <c r="A126" s="195" t="s">
        <v>972</v>
      </c>
      <c r="B126" s="195"/>
      <c r="C126" s="195"/>
      <c r="D126" s="188"/>
      <c r="E126" s="54">
        <f>Planilha!D50</f>
        <v>1000.46</v>
      </c>
    </row>
    <row r="127" spans="1:6" ht="15" customHeight="1" x14ac:dyDescent="0.2">
      <c r="A127" s="196" t="s">
        <v>1049</v>
      </c>
      <c r="B127" s="196"/>
      <c r="C127" s="196"/>
      <c r="D127" s="193"/>
      <c r="E127" s="151">
        <f>Planilha!H50</f>
        <v>136.63999999999999</v>
      </c>
    </row>
    <row r="128" spans="1:6" ht="15" customHeight="1" x14ac:dyDescent="0.2">
      <c r="A128" s="197" t="s">
        <v>1192</v>
      </c>
      <c r="B128" s="197"/>
      <c r="C128" s="197"/>
      <c r="D128" s="190"/>
      <c r="E128" s="125">
        <f>E125-E127</f>
        <v>846.30000000000007</v>
      </c>
    </row>
    <row r="129" spans="1:6" x14ac:dyDescent="0.2">
      <c r="A129" s="34"/>
      <c r="E129" s="36"/>
    </row>
    <row r="130" spans="1:6" s="43" customFormat="1" ht="32.25" customHeight="1" x14ac:dyDescent="0.2">
      <c r="A130" s="45" t="s">
        <v>973</v>
      </c>
      <c r="B130" s="198" t="s">
        <v>99</v>
      </c>
      <c r="C130" s="198"/>
      <c r="D130" s="198"/>
      <c r="E130" s="198"/>
      <c r="F130" s="43" t="s">
        <v>1041</v>
      </c>
    </row>
    <row r="131" spans="1:6" ht="15" customHeight="1" x14ac:dyDescent="0.2">
      <c r="A131" s="195" t="s">
        <v>1050</v>
      </c>
      <c r="B131" s="195"/>
      <c r="C131" s="195"/>
      <c r="D131" s="188"/>
      <c r="E131" s="54">
        <f>'4.0'!E174</f>
        <v>222.62825000000001</v>
      </c>
    </row>
    <row r="132" spans="1:6" ht="15" customHeight="1" x14ac:dyDescent="0.2">
      <c r="A132" s="195" t="s">
        <v>966</v>
      </c>
      <c r="B132" s="195"/>
      <c r="C132" s="195"/>
      <c r="D132" s="188"/>
      <c r="E132" s="54">
        <f>Planilha!D51</f>
        <v>281.71325000000002</v>
      </c>
    </row>
    <row r="133" spans="1:6" ht="15" customHeight="1" x14ac:dyDescent="0.2">
      <c r="A133" s="196" t="s">
        <v>1193</v>
      </c>
      <c r="B133" s="196"/>
      <c r="C133" s="196"/>
      <c r="D133" s="193"/>
      <c r="E133" s="151">
        <f>Planilha!H51</f>
        <v>11.14</v>
      </c>
    </row>
    <row r="134" spans="1:6" ht="15" customHeight="1" x14ac:dyDescent="0.2">
      <c r="A134" s="197" t="s">
        <v>1191</v>
      </c>
      <c r="B134" s="197"/>
      <c r="C134" s="197"/>
      <c r="D134" s="190"/>
      <c r="E134" s="125">
        <f>E131-E133</f>
        <v>211.48824999999999</v>
      </c>
    </row>
    <row r="135" spans="1:6" x14ac:dyDescent="0.2">
      <c r="A135" s="34"/>
      <c r="E135" s="36"/>
    </row>
    <row r="136" spans="1:6" s="43" customFormat="1" ht="39.75" customHeight="1" x14ac:dyDescent="0.2">
      <c r="A136" s="45" t="s">
        <v>986</v>
      </c>
      <c r="B136" s="198" t="s">
        <v>103</v>
      </c>
      <c r="C136" s="198"/>
      <c r="D136" s="198"/>
      <c r="E136" s="198"/>
      <c r="F136" s="43" t="s">
        <v>1041</v>
      </c>
    </row>
    <row r="137" spans="1:6" ht="15" customHeight="1" x14ac:dyDescent="0.2">
      <c r="A137" s="195" t="s">
        <v>1194</v>
      </c>
      <c r="B137" s="195"/>
      <c r="C137" s="195"/>
      <c r="D137" s="188"/>
      <c r="E137" s="54">
        <f>'4.0'!E185</f>
        <v>1204.6600000000001</v>
      </c>
    </row>
    <row r="138" spans="1:6" ht="15" customHeight="1" x14ac:dyDescent="0.2">
      <c r="A138" s="195" t="s">
        <v>991</v>
      </c>
      <c r="B138" s="195"/>
      <c r="C138" s="195"/>
      <c r="D138" s="188"/>
      <c r="E138" s="54">
        <f>Planilha!D53</f>
        <v>1204.6600000000001</v>
      </c>
    </row>
    <row r="139" spans="1:6" ht="15" customHeight="1" x14ac:dyDescent="0.2">
      <c r="A139" s="197" t="s">
        <v>1057</v>
      </c>
      <c r="B139" s="197"/>
      <c r="C139" s="197"/>
      <c r="D139" s="190"/>
      <c r="E139" s="151">
        <f>Planilha!H53</f>
        <v>447.1</v>
      </c>
    </row>
    <row r="140" spans="1:6" ht="15" customHeight="1" x14ac:dyDescent="0.2">
      <c r="A140" s="197" t="s">
        <v>1195</v>
      </c>
      <c r="B140" s="197"/>
      <c r="C140" s="197"/>
      <c r="D140" s="190"/>
      <c r="E140" s="125">
        <f>E137-E139</f>
        <v>757.56000000000006</v>
      </c>
    </row>
    <row r="141" spans="1:6" x14ac:dyDescent="0.2">
      <c r="A141" s="34"/>
      <c r="E141" s="36"/>
    </row>
    <row r="142" spans="1:6" s="43" customFormat="1" ht="39.75" customHeight="1" x14ac:dyDescent="0.2">
      <c r="A142" s="45" t="s">
        <v>998</v>
      </c>
      <c r="B142" s="198" t="s">
        <v>109</v>
      </c>
      <c r="C142" s="198"/>
      <c r="D142" s="198"/>
      <c r="E142" s="198"/>
      <c r="F142" s="43" t="s">
        <v>1041</v>
      </c>
    </row>
    <row r="143" spans="1:6" ht="15" customHeight="1" x14ac:dyDescent="0.2">
      <c r="A143" s="195" t="s">
        <v>1196</v>
      </c>
      <c r="B143" s="195"/>
      <c r="C143" s="195"/>
      <c r="D143" s="188"/>
      <c r="E143" s="54">
        <f>'4.0'!E199</f>
        <v>1712.4</v>
      </c>
    </row>
    <row r="144" spans="1:6" ht="15" customHeight="1" x14ac:dyDescent="0.2">
      <c r="A144" s="195" t="s">
        <v>995</v>
      </c>
      <c r="B144" s="195"/>
      <c r="C144" s="195"/>
      <c r="D144" s="188"/>
      <c r="E144" s="54">
        <f>Planilha!D56</f>
        <v>1712.4</v>
      </c>
    </row>
    <row r="145" spans="1:6" ht="15" customHeight="1" x14ac:dyDescent="0.2">
      <c r="A145" s="196" t="s">
        <v>1059</v>
      </c>
      <c r="B145" s="196"/>
      <c r="C145" s="196"/>
      <c r="D145" s="193"/>
      <c r="E145" s="151">
        <f>Planilha!H56</f>
        <v>1018.8</v>
      </c>
    </row>
    <row r="146" spans="1:6" ht="15" customHeight="1" x14ac:dyDescent="0.2">
      <c r="A146" s="197" t="s">
        <v>1197</v>
      </c>
      <c r="B146" s="197"/>
      <c r="C146" s="197"/>
      <c r="D146" s="190"/>
      <c r="E146" s="125">
        <f>E143-E145</f>
        <v>693.60000000000014</v>
      </c>
    </row>
    <row r="147" spans="1:6" x14ac:dyDescent="0.2">
      <c r="A147" s="34"/>
      <c r="E147" s="36"/>
    </row>
    <row r="148" spans="1:6" s="43" customFormat="1" ht="39.75" customHeight="1" x14ac:dyDescent="0.2">
      <c r="A148" s="45" t="s">
        <v>999</v>
      </c>
      <c r="B148" s="198" t="s">
        <v>111</v>
      </c>
      <c r="C148" s="198"/>
      <c r="D148" s="198"/>
      <c r="E148" s="198"/>
      <c r="F148" s="43" t="s">
        <v>1041</v>
      </c>
    </row>
    <row r="149" spans="1:6" ht="15" customHeight="1" x14ac:dyDescent="0.2">
      <c r="A149" s="195" t="s">
        <v>1062</v>
      </c>
      <c r="B149" s="195"/>
      <c r="C149" s="195"/>
      <c r="D149" s="188"/>
      <c r="E149" s="54">
        <f>'4.0'!E226</f>
        <v>23.33455</v>
      </c>
    </row>
    <row r="150" spans="1:6" ht="15" customHeight="1" x14ac:dyDescent="0.2">
      <c r="A150" s="195" t="s">
        <v>1001</v>
      </c>
      <c r="B150" s="195"/>
      <c r="C150" s="195"/>
      <c r="D150" s="188"/>
      <c r="E150" s="54">
        <f>Planilha!D57</f>
        <v>23.928549999999998</v>
      </c>
    </row>
    <row r="151" spans="1:6" ht="15" customHeight="1" x14ac:dyDescent="0.2">
      <c r="A151" s="196" t="s">
        <v>1198</v>
      </c>
      <c r="B151" s="196"/>
      <c r="C151" s="196"/>
      <c r="D151" s="193"/>
      <c r="E151" s="151">
        <f>Planilha!H57</f>
        <v>2.3595000000000002</v>
      </c>
    </row>
    <row r="152" spans="1:6" ht="15" customHeight="1" x14ac:dyDescent="0.2">
      <c r="A152" s="197" t="s">
        <v>1199</v>
      </c>
      <c r="B152" s="197"/>
      <c r="C152" s="197"/>
      <c r="D152" s="190"/>
      <c r="E152" s="125">
        <f>E149-E151-0.01</f>
        <v>20.965049999999998</v>
      </c>
    </row>
    <row r="153" spans="1:6" x14ac:dyDescent="0.2">
      <c r="A153" s="34"/>
      <c r="E153" s="36"/>
    </row>
    <row r="154" spans="1:6" s="43" customFormat="1" ht="39.75" customHeight="1" x14ac:dyDescent="0.2">
      <c r="A154" s="45" t="s">
        <v>1002</v>
      </c>
      <c r="B154" s="198" t="s">
        <v>113</v>
      </c>
      <c r="C154" s="198"/>
      <c r="D154" s="198"/>
      <c r="E154" s="198"/>
      <c r="F154" s="43" t="s">
        <v>1041</v>
      </c>
    </row>
    <row r="155" spans="1:6" ht="15" customHeight="1" x14ac:dyDescent="0.2">
      <c r="A155" s="195" t="s">
        <v>1200</v>
      </c>
      <c r="B155" s="195"/>
      <c r="C155" s="195"/>
      <c r="D155" s="188"/>
      <c r="E155" s="54">
        <f>'4.0'!E237</f>
        <v>1919.4999999999998</v>
      </c>
    </row>
    <row r="156" spans="1:6" ht="15" customHeight="1" x14ac:dyDescent="0.2">
      <c r="A156" s="195" t="s">
        <v>995</v>
      </c>
      <c r="B156" s="195"/>
      <c r="C156" s="195"/>
      <c r="D156" s="188"/>
      <c r="E156" s="54">
        <f>Planilha!D58</f>
        <v>1919.4999999999998</v>
      </c>
    </row>
    <row r="157" spans="1:6" ht="15" customHeight="1" x14ac:dyDescent="0.2">
      <c r="A157" s="196" t="s">
        <v>1059</v>
      </c>
      <c r="B157" s="196"/>
      <c r="C157" s="196"/>
      <c r="D157" s="193"/>
      <c r="E157" s="151">
        <f>Planilha!H58</f>
        <v>289.2</v>
      </c>
    </row>
    <row r="158" spans="1:6" ht="15" customHeight="1" x14ac:dyDescent="0.2">
      <c r="A158" s="197" t="s">
        <v>1197</v>
      </c>
      <c r="B158" s="197"/>
      <c r="C158" s="197"/>
      <c r="D158" s="190"/>
      <c r="E158" s="125">
        <f>E155-E157</f>
        <v>1630.2999999999997</v>
      </c>
    </row>
    <row r="159" spans="1:6" x14ac:dyDescent="0.2">
      <c r="A159" s="34"/>
      <c r="E159" s="36"/>
    </row>
    <row r="160" spans="1:6" s="43" customFormat="1" ht="39.75" customHeight="1" x14ac:dyDescent="0.2">
      <c r="A160" s="45" t="s">
        <v>1003</v>
      </c>
      <c r="B160" s="198" t="s">
        <v>119</v>
      </c>
      <c r="C160" s="198"/>
      <c r="D160" s="198"/>
      <c r="E160" s="198"/>
      <c r="F160" s="43" t="s">
        <v>1041</v>
      </c>
    </row>
    <row r="161" spans="1:6" ht="15" customHeight="1" x14ac:dyDescent="0.2">
      <c r="A161" s="195" t="s">
        <v>1201</v>
      </c>
      <c r="B161" s="195"/>
      <c r="C161" s="195"/>
      <c r="D161" s="188"/>
      <c r="E161" s="54">
        <f>'4.0'!E252</f>
        <v>379.74</v>
      </c>
    </row>
    <row r="162" spans="1:6" ht="15" customHeight="1" x14ac:dyDescent="0.2">
      <c r="A162" s="195" t="s">
        <v>995</v>
      </c>
      <c r="B162" s="195"/>
      <c r="C162" s="195"/>
      <c r="D162" s="188"/>
      <c r="E162" s="54">
        <f>Planilha!D61</f>
        <v>379.74</v>
      </c>
    </row>
    <row r="163" spans="1:6" ht="15" customHeight="1" x14ac:dyDescent="0.2">
      <c r="A163" s="196" t="s">
        <v>1202</v>
      </c>
      <c r="B163" s="196"/>
      <c r="C163" s="196"/>
      <c r="D163" s="193"/>
      <c r="E163" s="151">
        <f>Planilha!H61</f>
        <v>311.3</v>
      </c>
    </row>
    <row r="164" spans="1:6" ht="15" customHeight="1" x14ac:dyDescent="0.2">
      <c r="A164" s="197" t="s">
        <v>1197</v>
      </c>
      <c r="B164" s="197"/>
      <c r="C164" s="197"/>
      <c r="D164" s="190"/>
      <c r="E164" s="125">
        <f>E161-E163</f>
        <v>68.44</v>
      </c>
    </row>
    <row r="165" spans="1:6" x14ac:dyDescent="0.2">
      <c r="A165" s="34"/>
      <c r="E165" s="36"/>
    </row>
    <row r="166" spans="1:6" s="43" customFormat="1" ht="39.75" customHeight="1" x14ac:dyDescent="0.2">
      <c r="A166" s="45" t="s">
        <v>1004</v>
      </c>
      <c r="B166" s="198" t="s">
        <v>854</v>
      </c>
      <c r="C166" s="198"/>
      <c r="D166" s="198"/>
      <c r="E166" s="198"/>
      <c r="F166" s="43" t="s">
        <v>1041</v>
      </c>
    </row>
    <row r="167" spans="1:6" ht="15" customHeight="1" x14ac:dyDescent="0.2">
      <c r="A167" s="195" t="s">
        <v>1065</v>
      </c>
      <c r="B167" s="195"/>
      <c r="C167" s="195"/>
      <c r="D167" s="188"/>
      <c r="E167" s="54">
        <f>'4.0'!E267</f>
        <v>160.16999999999999</v>
      </c>
    </row>
    <row r="168" spans="1:6" ht="15" customHeight="1" x14ac:dyDescent="0.2">
      <c r="A168" s="195" t="s">
        <v>1010</v>
      </c>
      <c r="B168" s="195"/>
      <c r="C168" s="195"/>
      <c r="D168" s="188"/>
      <c r="E168" s="54">
        <f>Planilha!D62</f>
        <v>162.91299999999998</v>
      </c>
    </row>
    <row r="169" spans="1:6" ht="15" customHeight="1" x14ac:dyDescent="0.2">
      <c r="A169" s="196" t="s">
        <v>1203</v>
      </c>
      <c r="B169" s="196"/>
      <c r="C169" s="196"/>
      <c r="D169" s="193"/>
      <c r="E169" s="151">
        <f>Planilha!H62</f>
        <v>0</v>
      </c>
    </row>
    <row r="170" spans="1:6" ht="15" customHeight="1" x14ac:dyDescent="0.2">
      <c r="A170" s="197" t="s">
        <v>1166</v>
      </c>
      <c r="B170" s="197"/>
      <c r="C170" s="197"/>
      <c r="D170" s="190"/>
      <c r="E170" s="125">
        <f>E167-E169</f>
        <v>160.16999999999999</v>
      </c>
    </row>
    <row r="171" spans="1:6" x14ac:dyDescent="0.2">
      <c r="A171" s="34"/>
      <c r="E171" s="36"/>
    </row>
    <row r="172" spans="1:6" s="43" customFormat="1" ht="39.75" customHeight="1" x14ac:dyDescent="0.2">
      <c r="A172" s="45" t="s">
        <v>1011</v>
      </c>
      <c r="B172" s="198" t="s">
        <v>1012</v>
      </c>
      <c r="C172" s="198"/>
      <c r="D172" s="198"/>
      <c r="E172" s="198"/>
      <c r="F172" s="43" t="s">
        <v>1041</v>
      </c>
    </row>
    <row r="173" spans="1:6" ht="14.25" customHeight="1" x14ac:dyDescent="0.2">
      <c r="A173" s="195" t="s">
        <v>1204</v>
      </c>
      <c r="B173" s="195"/>
      <c r="C173" s="195"/>
      <c r="D173" s="188"/>
      <c r="E173" s="54">
        <f>'4.0'!E278</f>
        <v>2428.7999999999997</v>
      </c>
    </row>
    <row r="174" spans="1:6" ht="15" customHeight="1" x14ac:dyDescent="0.2">
      <c r="A174" s="195" t="s">
        <v>995</v>
      </c>
      <c r="B174" s="195"/>
      <c r="C174" s="195"/>
      <c r="D174" s="188"/>
      <c r="E174" s="54">
        <f>Planilha!D63</f>
        <v>2428.7999999999997</v>
      </c>
    </row>
    <row r="175" spans="1:6" ht="15" customHeight="1" x14ac:dyDescent="0.2">
      <c r="A175" s="196" t="s">
        <v>1059</v>
      </c>
      <c r="B175" s="196"/>
      <c r="C175" s="196"/>
      <c r="D175" s="193"/>
      <c r="E175" s="151">
        <f>Planilha!H63</f>
        <v>0</v>
      </c>
    </row>
    <row r="176" spans="1:6" ht="15" customHeight="1" x14ac:dyDescent="0.2">
      <c r="A176" s="197" t="s">
        <v>1197</v>
      </c>
      <c r="B176" s="197"/>
      <c r="C176" s="197"/>
      <c r="D176" s="190"/>
      <c r="E176" s="125">
        <f>E173-E175</f>
        <v>2428.7999999999997</v>
      </c>
    </row>
    <row r="177" spans="1:6" x14ac:dyDescent="0.2">
      <c r="A177" s="34"/>
      <c r="E177" s="36"/>
    </row>
    <row r="178" spans="1:6" ht="17.25" customHeight="1" x14ac:dyDescent="0.2">
      <c r="A178" s="44" t="s">
        <v>826</v>
      </c>
      <c r="B178" s="199" t="s">
        <v>827</v>
      </c>
      <c r="C178" s="199"/>
      <c r="D178" s="199"/>
      <c r="E178" s="199"/>
    </row>
    <row r="179" spans="1:6" s="43" customFormat="1" ht="39.75" customHeight="1" x14ac:dyDescent="0.2">
      <c r="A179" s="45" t="s">
        <v>828</v>
      </c>
      <c r="B179" s="198" t="s">
        <v>831</v>
      </c>
      <c r="C179" s="198"/>
      <c r="D179" s="198"/>
      <c r="E179" s="198"/>
    </row>
    <row r="180" spans="1:6" ht="14.25" customHeight="1" x14ac:dyDescent="0.2">
      <c r="A180" s="188" t="s">
        <v>1206</v>
      </c>
      <c r="B180" s="189"/>
      <c r="C180" s="189"/>
      <c r="D180" s="189"/>
      <c r="E180" s="84">
        <f>'5.0'!E15</f>
        <v>197275.58</v>
      </c>
    </row>
    <row r="181" spans="1:6" ht="14.25" customHeight="1" x14ac:dyDescent="0.2">
      <c r="A181" s="188" t="s">
        <v>1076</v>
      </c>
      <c r="B181" s="189"/>
      <c r="C181" s="189"/>
      <c r="D181" s="189"/>
      <c r="E181" s="84">
        <f>Planilha!D66</f>
        <v>244040</v>
      </c>
    </row>
    <row r="182" spans="1:6" ht="14.25" customHeight="1" x14ac:dyDescent="0.2">
      <c r="A182" s="193" t="s">
        <v>1087</v>
      </c>
      <c r="B182" s="194"/>
      <c r="C182" s="194"/>
      <c r="D182" s="194"/>
      <c r="E182" s="148">
        <f>Planilha!H66</f>
        <v>187025.58199999999</v>
      </c>
    </row>
    <row r="183" spans="1:6" ht="14.25" customHeight="1" x14ac:dyDescent="0.2">
      <c r="A183" s="190" t="s">
        <v>1205</v>
      </c>
      <c r="B183" s="191"/>
      <c r="C183" s="191"/>
      <c r="D183" s="191"/>
      <c r="E183" s="86">
        <f>E180-E182</f>
        <v>10249.997999999992</v>
      </c>
    </row>
    <row r="184" spans="1:6" ht="14.25" customHeight="1" x14ac:dyDescent="0.2">
      <c r="A184" s="200"/>
      <c r="B184" s="201"/>
      <c r="C184" s="63"/>
      <c r="D184" s="63"/>
      <c r="E184" s="84"/>
    </row>
    <row r="185" spans="1:6" s="43" customFormat="1" ht="39.75" customHeight="1" x14ac:dyDescent="0.2">
      <c r="A185" s="45" t="s">
        <v>856</v>
      </c>
      <c r="B185" s="198" t="s">
        <v>1092</v>
      </c>
      <c r="C185" s="198"/>
      <c r="D185" s="198"/>
      <c r="E185" s="198"/>
      <c r="F185" s="43" t="s">
        <v>1041</v>
      </c>
    </row>
    <row r="186" spans="1:6" ht="15" customHeight="1" x14ac:dyDescent="0.2">
      <c r="A186" s="195" t="s">
        <v>1207</v>
      </c>
      <c r="B186" s="195"/>
      <c r="C186" s="195"/>
      <c r="D186" s="188"/>
      <c r="E186" s="54">
        <f>'5.0'!E42</f>
        <v>565.6966666666666</v>
      </c>
    </row>
    <row r="187" spans="1:6" ht="15" customHeight="1" x14ac:dyDescent="0.2">
      <c r="A187" s="195" t="s">
        <v>991</v>
      </c>
      <c r="B187" s="195"/>
      <c r="C187" s="195"/>
      <c r="D187" s="188"/>
      <c r="E187" s="54">
        <f>Planilha!D70</f>
        <v>1025.6799999999998</v>
      </c>
    </row>
    <row r="188" spans="1:6" ht="15" customHeight="1" x14ac:dyDescent="0.2">
      <c r="A188" s="196" t="s">
        <v>1057</v>
      </c>
      <c r="B188" s="196"/>
      <c r="C188" s="196"/>
      <c r="D188" s="193"/>
      <c r="E188" s="151">
        <v>0</v>
      </c>
    </row>
    <row r="189" spans="1:6" ht="15" customHeight="1" x14ac:dyDescent="0.2">
      <c r="A189" s="197" t="s">
        <v>1242</v>
      </c>
      <c r="B189" s="197"/>
      <c r="C189" s="197"/>
      <c r="D189" s="190"/>
      <c r="E189" s="125">
        <f>E186-E188</f>
        <v>565.6966666666666</v>
      </c>
    </row>
    <row r="190" spans="1:6" x14ac:dyDescent="0.2">
      <c r="A190" s="34"/>
      <c r="E190" s="36"/>
    </row>
    <row r="191" spans="1:6" s="43" customFormat="1" ht="39.75" customHeight="1" x14ac:dyDescent="0.2">
      <c r="A191" s="45" t="s">
        <v>858</v>
      </c>
      <c r="B191" s="198" t="s">
        <v>1093</v>
      </c>
      <c r="C191" s="198"/>
      <c r="D191" s="198"/>
      <c r="E191" s="198"/>
      <c r="F191" s="43" t="s">
        <v>1041</v>
      </c>
    </row>
    <row r="192" spans="1:6" ht="15" customHeight="1" x14ac:dyDescent="0.2">
      <c r="A192" s="195" t="s">
        <v>1246</v>
      </c>
      <c r="B192" s="195"/>
      <c r="C192" s="195"/>
      <c r="D192" s="188"/>
      <c r="E192" s="54">
        <f>'5.0'!E53</f>
        <v>96.5</v>
      </c>
    </row>
    <row r="193" spans="1:6" ht="15" customHeight="1" x14ac:dyDescent="0.2">
      <c r="A193" s="195" t="s">
        <v>1244</v>
      </c>
      <c r="B193" s="195"/>
      <c r="C193" s="195"/>
      <c r="D193" s="188"/>
      <c r="E193" s="54">
        <f>Planilha!D71</f>
        <v>314.5</v>
      </c>
    </row>
    <row r="194" spans="1:6" ht="15" customHeight="1" x14ac:dyDescent="0.2">
      <c r="A194" s="196" t="s">
        <v>1243</v>
      </c>
      <c r="B194" s="196"/>
      <c r="C194" s="196"/>
      <c r="D194" s="193"/>
      <c r="E194" s="151">
        <v>0</v>
      </c>
    </row>
    <row r="195" spans="1:6" ht="15" customHeight="1" x14ac:dyDescent="0.2">
      <c r="A195" s="197" t="s">
        <v>1267</v>
      </c>
      <c r="B195" s="197"/>
      <c r="C195" s="197"/>
      <c r="D195" s="190"/>
      <c r="E195" s="125">
        <f>E192-E194</f>
        <v>96.5</v>
      </c>
    </row>
    <row r="196" spans="1:6" x14ac:dyDescent="0.2">
      <c r="A196" s="34"/>
      <c r="E196" s="36"/>
    </row>
    <row r="197" spans="1:6" s="43" customFormat="1" ht="39.75" customHeight="1" x14ac:dyDescent="0.2">
      <c r="A197" s="45" t="s">
        <v>860</v>
      </c>
      <c r="B197" s="198" t="s">
        <v>1082</v>
      </c>
      <c r="C197" s="198"/>
      <c r="D197" s="198"/>
      <c r="E197" s="198"/>
      <c r="F197" s="43" t="s">
        <v>1041</v>
      </c>
    </row>
    <row r="198" spans="1:6" ht="15" customHeight="1" x14ac:dyDescent="0.2">
      <c r="A198" s="195" t="s">
        <v>1255</v>
      </c>
      <c r="B198" s="195"/>
      <c r="C198" s="195"/>
      <c r="D198" s="188"/>
      <c r="E198" s="54">
        <f>'5.0'!E75</f>
        <v>1307.5</v>
      </c>
    </row>
    <row r="199" spans="1:6" ht="15" customHeight="1" x14ac:dyDescent="0.2">
      <c r="A199" s="195" t="s">
        <v>1253</v>
      </c>
      <c r="B199" s="195"/>
      <c r="C199" s="195"/>
      <c r="D199" s="188"/>
      <c r="E199" s="54">
        <f>Planilha!D72</f>
        <v>1392.6999999999998</v>
      </c>
    </row>
    <row r="200" spans="1:6" ht="15" customHeight="1" x14ac:dyDescent="0.2">
      <c r="A200" s="196" t="s">
        <v>1252</v>
      </c>
      <c r="B200" s="196"/>
      <c r="C200" s="196"/>
      <c r="D200" s="193"/>
      <c r="E200" s="54">
        <v>0</v>
      </c>
    </row>
    <row r="201" spans="1:6" ht="15" customHeight="1" x14ac:dyDescent="0.2">
      <c r="A201" s="197" t="s">
        <v>1259</v>
      </c>
      <c r="B201" s="197"/>
      <c r="C201" s="197"/>
      <c r="D201" s="190"/>
      <c r="E201" s="125">
        <f>E198-E200</f>
        <v>1307.5</v>
      </c>
    </row>
    <row r="202" spans="1:6" x14ac:dyDescent="0.2">
      <c r="A202" s="34"/>
      <c r="E202" s="36"/>
    </row>
    <row r="203" spans="1:6" s="43" customFormat="1" ht="39.75" customHeight="1" x14ac:dyDescent="0.2">
      <c r="A203" s="45" t="s">
        <v>862</v>
      </c>
      <c r="B203" s="198" t="s">
        <v>103</v>
      </c>
      <c r="C203" s="198"/>
      <c r="D203" s="198"/>
      <c r="E203" s="198"/>
      <c r="F203" s="43" t="s">
        <v>1041</v>
      </c>
    </row>
    <row r="204" spans="1:6" ht="15" customHeight="1" x14ac:dyDescent="0.2">
      <c r="A204" s="195" t="s">
        <v>1251</v>
      </c>
      <c r="B204" s="195"/>
      <c r="C204" s="195"/>
      <c r="D204" s="188"/>
      <c r="E204" s="54">
        <f>'5.0'!E87</f>
        <v>350.24</v>
      </c>
    </row>
    <row r="205" spans="1:6" ht="15" customHeight="1" x14ac:dyDescent="0.2">
      <c r="A205" s="195" t="s">
        <v>1258</v>
      </c>
      <c r="B205" s="195"/>
      <c r="C205" s="195"/>
      <c r="D205" s="188"/>
      <c r="E205" s="54">
        <f>Planilha!D73</f>
        <v>665.53</v>
      </c>
    </row>
    <row r="206" spans="1:6" ht="15" customHeight="1" x14ac:dyDescent="0.2">
      <c r="A206" s="196" t="s">
        <v>1256</v>
      </c>
      <c r="B206" s="196"/>
      <c r="C206" s="196"/>
      <c r="D206" s="193"/>
      <c r="E206" s="54">
        <v>0</v>
      </c>
    </row>
    <row r="207" spans="1:6" ht="15" customHeight="1" x14ac:dyDescent="0.2">
      <c r="A207" s="197" t="s">
        <v>1257</v>
      </c>
      <c r="B207" s="197"/>
      <c r="C207" s="197"/>
      <c r="D207" s="190"/>
      <c r="E207" s="125">
        <f>E204-E206</f>
        <v>350.24</v>
      </c>
    </row>
    <row r="208" spans="1:6" x14ac:dyDescent="0.2">
      <c r="A208" s="34"/>
      <c r="E208" s="36"/>
    </row>
    <row r="209" spans="1:6" s="43" customFormat="1" ht="39.75" customHeight="1" x14ac:dyDescent="0.2">
      <c r="A209" s="45" t="s">
        <v>865</v>
      </c>
      <c r="B209" s="198" t="s">
        <v>866</v>
      </c>
      <c r="C209" s="198"/>
      <c r="D209" s="198"/>
      <c r="E209" s="198"/>
      <c r="F209" s="43" t="s">
        <v>1041</v>
      </c>
    </row>
    <row r="210" spans="1:6" ht="15" customHeight="1" x14ac:dyDescent="0.2">
      <c r="A210" s="195" t="s">
        <v>1219</v>
      </c>
      <c r="B210" s="195"/>
      <c r="C210" s="195"/>
      <c r="D210" s="188"/>
      <c r="E210" s="54">
        <f>'5.0'!E107</f>
        <v>5276.5</v>
      </c>
    </row>
    <row r="211" spans="1:6" ht="15" customHeight="1" x14ac:dyDescent="0.2">
      <c r="A211" s="195" t="s">
        <v>1136</v>
      </c>
      <c r="B211" s="195"/>
      <c r="C211" s="195"/>
      <c r="D211" s="188"/>
      <c r="E211" s="54">
        <f>Planilha!D75</f>
        <v>7725.41</v>
      </c>
    </row>
    <row r="212" spans="1:6" ht="15" customHeight="1" x14ac:dyDescent="0.2">
      <c r="A212" s="196" t="s">
        <v>1220</v>
      </c>
      <c r="B212" s="196"/>
      <c r="C212" s="196"/>
      <c r="D212" s="193"/>
      <c r="E212" s="151">
        <v>0</v>
      </c>
    </row>
    <row r="213" spans="1:6" ht="15" customHeight="1" x14ac:dyDescent="0.2">
      <c r="A213" s="197" t="s">
        <v>1221</v>
      </c>
      <c r="B213" s="197"/>
      <c r="C213" s="197"/>
      <c r="D213" s="190"/>
      <c r="E213" s="125">
        <f>E210-E212</f>
        <v>5276.5</v>
      </c>
    </row>
    <row r="214" spans="1:6" x14ac:dyDescent="0.2">
      <c r="A214" s="34"/>
      <c r="E214" s="36"/>
    </row>
    <row r="215" spans="1:6" s="43" customFormat="1" ht="18.75" customHeight="1" x14ac:dyDescent="0.2">
      <c r="A215" s="45" t="s">
        <v>873</v>
      </c>
      <c r="B215" s="198" t="s">
        <v>874</v>
      </c>
      <c r="C215" s="198"/>
      <c r="D215" s="198"/>
      <c r="E215" s="198"/>
      <c r="F215" s="43" t="s">
        <v>1041</v>
      </c>
    </row>
    <row r="216" spans="1:6" ht="15" customHeight="1" x14ac:dyDescent="0.2">
      <c r="A216" s="195" t="s">
        <v>1217</v>
      </c>
      <c r="B216" s="195"/>
      <c r="C216" s="195"/>
      <c r="D216" s="188"/>
      <c r="E216" s="54">
        <f>'5.0'!E122</f>
        <v>1156.28</v>
      </c>
    </row>
    <row r="217" spans="1:6" ht="15" customHeight="1" x14ac:dyDescent="0.2">
      <c r="A217" s="195" t="s">
        <v>1094</v>
      </c>
      <c r="B217" s="195"/>
      <c r="C217" s="195"/>
      <c r="D217" s="188"/>
      <c r="E217" s="54">
        <v>1444.91</v>
      </c>
    </row>
    <row r="218" spans="1:6" ht="15" customHeight="1" x14ac:dyDescent="0.2">
      <c r="A218" s="195" t="s">
        <v>1109</v>
      </c>
      <c r="B218" s="195"/>
      <c r="C218" s="195"/>
      <c r="D218" s="188"/>
      <c r="E218" s="54">
        <v>0</v>
      </c>
    </row>
    <row r="219" spans="1:6" ht="15" customHeight="1" x14ac:dyDescent="0.2">
      <c r="A219" s="197" t="s">
        <v>1218</v>
      </c>
      <c r="B219" s="197"/>
      <c r="C219" s="197"/>
      <c r="D219" s="190"/>
      <c r="E219" s="125">
        <f>E216-E218</f>
        <v>1156.28</v>
      </c>
    </row>
    <row r="220" spans="1:6" x14ac:dyDescent="0.2">
      <c r="A220" s="34"/>
      <c r="E220" s="36"/>
    </row>
    <row r="221" spans="1:6" s="43" customFormat="1" ht="32.25" customHeight="1" x14ac:dyDescent="0.2">
      <c r="A221" s="45" t="s">
        <v>875</v>
      </c>
      <c r="B221" s="198" t="s">
        <v>876</v>
      </c>
      <c r="C221" s="198"/>
      <c r="D221" s="198"/>
      <c r="E221" s="198"/>
      <c r="F221" s="43" t="s">
        <v>1041</v>
      </c>
    </row>
    <row r="222" spans="1:6" ht="15" customHeight="1" x14ac:dyDescent="0.2">
      <c r="A222" s="195" t="s">
        <v>1222</v>
      </c>
      <c r="B222" s="195"/>
      <c r="C222" s="195"/>
      <c r="D222" s="188"/>
      <c r="E222" s="54">
        <f>'5.0'!E139</f>
        <v>152.26</v>
      </c>
    </row>
    <row r="223" spans="1:6" ht="15" customHeight="1" x14ac:dyDescent="0.2">
      <c r="A223" s="195" t="s">
        <v>1010</v>
      </c>
      <c r="B223" s="195"/>
      <c r="C223" s="195"/>
      <c r="D223" s="188"/>
      <c r="E223" s="54">
        <f>Planilha!D80</f>
        <v>186.68463</v>
      </c>
    </row>
    <row r="224" spans="1:6" ht="15" customHeight="1" x14ac:dyDescent="0.2">
      <c r="A224" s="196" t="s">
        <v>1203</v>
      </c>
      <c r="B224" s="196"/>
      <c r="C224" s="196"/>
      <c r="D224" s="193"/>
      <c r="E224" s="151">
        <v>0</v>
      </c>
    </row>
    <row r="225" spans="1:6" ht="15" customHeight="1" x14ac:dyDescent="0.2">
      <c r="A225" s="197" t="s">
        <v>1166</v>
      </c>
      <c r="B225" s="197"/>
      <c r="C225" s="197"/>
      <c r="D225" s="190"/>
      <c r="E225" s="125">
        <f>E222-E224</f>
        <v>152.26</v>
      </c>
    </row>
    <row r="226" spans="1:6" x14ac:dyDescent="0.2">
      <c r="A226" s="34"/>
      <c r="E226" s="36"/>
    </row>
    <row r="227" spans="1:6" s="43" customFormat="1" ht="33.75" customHeight="1" x14ac:dyDescent="0.2">
      <c r="A227" s="45" t="s">
        <v>877</v>
      </c>
      <c r="B227" s="198" t="s">
        <v>878</v>
      </c>
      <c r="C227" s="198"/>
      <c r="D227" s="198"/>
      <c r="E227" s="198"/>
      <c r="F227" s="43" t="s">
        <v>1041</v>
      </c>
    </row>
    <row r="228" spans="1:6" ht="14.25" customHeight="1" x14ac:dyDescent="0.2">
      <c r="A228" s="188" t="s">
        <v>1160</v>
      </c>
      <c r="B228" s="189"/>
      <c r="C228" s="189"/>
      <c r="D228" s="189"/>
      <c r="E228" s="84">
        <f>'5.0'!E158</f>
        <v>1156.28</v>
      </c>
    </row>
    <row r="229" spans="1:6" ht="14.25" customHeight="1" x14ac:dyDescent="0.2">
      <c r="A229" s="188" t="s">
        <v>1085</v>
      </c>
      <c r="B229" s="189"/>
      <c r="C229" s="189"/>
      <c r="D229" s="189"/>
      <c r="E229" s="84">
        <f>Planilha!D81</f>
        <v>1444.9110000000001</v>
      </c>
    </row>
    <row r="230" spans="1:6" ht="14.25" customHeight="1" x14ac:dyDescent="0.2">
      <c r="A230" s="188" t="s">
        <v>1119</v>
      </c>
      <c r="B230" s="189"/>
      <c r="C230" s="189"/>
      <c r="D230" s="189"/>
      <c r="E230" s="84">
        <v>0</v>
      </c>
    </row>
    <row r="231" spans="1:6" ht="14.25" customHeight="1" x14ac:dyDescent="0.2">
      <c r="A231" s="190" t="s">
        <v>1161</v>
      </c>
      <c r="B231" s="191"/>
      <c r="C231" s="191"/>
      <c r="D231" s="191"/>
      <c r="E231" s="86">
        <f>E228-E230</f>
        <v>1156.28</v>
      </c>
    </row>
    <row r="232" spans="1:6" x14ac:dyDescent="0.2">
      <c r="A232" s="136"/>
      <c r="B232" s="48"/>
      <c r="C232" s="48"/>
      <c r="D232" s="48"/>
      <c r="E232" s="137"/>
    </row>
    <row r="233" spans="1:6" ht="17.25" customHeight="1" x14ac:dyDescent="0.2">
      <c r="A233" s="147" t="s">
        <v>835</v>
      </c>
      <c r="B233" s="192" t="s">
        <v>133</v>
      </c>
      <c r="C233" s="192"/>
      <c r="D233" s="192"/>
      <c r="E233" s="192"/>
    </row>
    <row r="234" spans="1:6" s="43" customFormat="1" ht="40.5" customHeight="1" x14ac:dyDescent="0.2">
      <c r="A234" s="45" t="s">
        <v>836</v>
      </c>
      <c r="B234" s="198" t="s">
        <v>135</v>
      </c>
      <c r="C234" s="198"/>
      <c r="D234" s="198"/>
      <c r="E234" s="198"/>
      <c r="F234" s="43" t="s">
        <v>1041</v>
      </c>
    </row>
    <row r="235" spans="1:6" ht="14.25" customHeight="1" x14ac:dyDescent="0.2">
      <c r="A235" s="188" t="s">
        <v>1208</v>
      </c>
      <c r="B235" s="189"/>
      <c r="C235" s="189"/>
      <c r="D235" s="189"/>
      <c r="E235" s="84">
        <f>'6.0'!E32</f>
        <v>712.25299999999993</v>
      </c>
    </row>
    <row r="236" spans="1:6" ht="14.25" customHeight="1" x14ac:dyDescent="0.2">
      <c r="A236" s="188" t="s">
        <v>1209</v>
      </c>
      <c r="B236" s="189"/>
      <c r="C236" s="189"/>
      <c r="D236" s="189"/>
      <c r="E236" s="84">
        <f>Planilha!D83</f>
        <v>3301.92</v>
      </c>
    </row>
    <row r="237" spans="1:6" ht="14.25" customHeight="1" x14ac:dyDescent="0.2">
      <c r="A237" s="193" t="s">
        <v>1210</v>
      </c>
      <c r="B237" s="194"/>
      <c r="C237" s="194"/>
      <c r="D237" s="194"/>
      <c r="E237" s="148">
        <f>Planilha!H83</f>
        <v>349.36</v>
      </c>
    </row>
    <row r="238" spans="1:6" ht="14.25" customHeight="1" x14ac:dyDescent="0.2">
      <c r="A238" s="190" t="s">
        <v>1211</v>
      </c>
      <c r="B238" s="191"/>
      <c r="C238" s="191"/>
      <c r="D238" s="191"/>
      <c r="E238" s="86">
        <f>E235-E237</f>
        <v>362.89299999999992</v>
      </c>
    </row>
    <row r="239" spans="1:6" x14ac:dyDescent="0.2">
      <c r="A239" s="81"/>
      <c r="B239" s="82"/>
      <c r="C239" s="82"/>
      <c r="E239" s="83"/>
    </row>
    <row r="240" spans="1:6" s="43" customFormat="1" ht="42.75" customHeight="1" x14ac:dyDescent="0.2">
      <c r="A240" s="45" t="s">
        <v>1140</v>
      </c>
      <c r="B240" s="198" t="s">
        <v>141</v>
      </c>
      <c r="C240" s="198"/>
      <c r="D240" s="198"/>
      <c r="E240" s="198"/>
      <c r="F240" s="43" t="s">
        <v>1041</v>
      </c>
    </row>
    <row r="241" spans="1:6" ht="14.25" customHeight="1" x14ac:dyDescent="0.2">
      <c r="A241" s="188" t="s">
        <v>1212</v>
      </c>
      <c r="B241" s="189"/>
      <c r="C241" s="189"/>
      <c r="D241" s="189"/>
      <c r="E241" s="84">
        <f>'6.0'!E40</f>
        <v>78.865000000000009</v>
      </c>
    </row>
    <row r="242" spans="1:6" ht="14.25" customHeight="1" x14ac:dyDescent="0.2">
      <c r="A242" s="188" t="s">
        <v>1213</v>
      </c>
      <c r="B242" s="189"/>
      <c r="C242" s="189"/>
      <c r="D242" s="189"/>
      <c r="E242" s="84">
        <f>Planilha!D86</f>
        <v>254.7</v>
      </c>
    </row>
    <row r="243" spans="1:6" ht="14.25" customHeight="1" x14ac:dyDescent="0.2">
      <c r="A243" s="193" t="s">
        <v>1214</v>
      </c>
      <c r="B243" s="194"/>
      <c r="C243" s="194"/>
      <c r="D243" s="194"/>
      <c r="E243" s="84">
        <f>Planilha!H86</f>
        <v>0</v>
      </c>
    </row>
    <row r="244" spans="1:6" ht="14.25" customHeight="1" x14ac:dyDescent="0.2">
      <c r="A244" s="190" t="s">
        <v>1215</v>
      </c>
      <c r="B244" s="191"/>
      <c r="C244" s="191"/>
      <c r="D244" s="191"/>
      <c r="E244" s="86">
        <f>E241-E243</f>
        <v>78.865000000000009</v>
      </c>
    </row>
    <row r="245" spans="1:6" x14ac:dyDescent="0.2">
      <c r="A245" s="34"/>
      <c r="E245" s="36"/>
    </row>
    <row r="246" spans="1:6" ht="17.25" customHeight="1" x14ac:dyDescent="0.2">
      <c r="A246" s="44" t="s">
        <v>1095</v>
      </c>
      <c r="B246" s="199" t="s">
        <v>729</v>
      </c>
      <c r="C246" s="199"/>
      <c r="D246" s="199"/>
      <c r="E246" s="199"/>
    </row>
    <row r="247" spans="1:6" ht="4.5" customHeight="1" x14ac:dyDescent="0.2">
      <c r="A247" s="81"/>
      <c r="B247" s="82"/>
      <c r="C247" s="82"/>
      <c r="E247" s="83"/>
    </row>
    <row r="248" spans="1:6" ht="17.25" customHeight="1" x14ac:dyDescent="0.2">
      <c r="A248" s="147" t="s">
        <v>1096</v>
      </c>
      <c r="B248" s="192" t="s">
        <v>731</v>
      </c>
      <c r="C248" s="192"/>
      <c r="D248" s="192"/>
      <c r="E248" s="192"/>
    </row>
    <row r="249" spans="1:6" s="43" customFormat="1" ht="26.25" customHeight="1" x14ac:dyDescent="0.2">
      <c r="A249" s="45" t="s">
        <v>1097</v>
      </c>
      <c r="B249" s="198" t="s">
        <v>1098</v>
      </c>
      <c r="C249" s="198"/>
      <c r="D249" s="198"/>
      <c r="E249" s="198"/>
      <c r="F249" s="43" t="s">
        <v>1041</v>
      </c>
    </row>
    <row r="250" spans="1:6" ht="14.25" customHeight="1" x14ac:dyDescent="0.2">
      <c r="A250" s="188" t="s">
        <v>1162</v>
      </c>
      <c r="B250" s="189"/>
      <c r="C250" s="189"/>
      <c r="D250" s="189"/>
      <c r="E250" s="84">
        <f>'24.0'!E24</f>
        <v>134899.19999999998</v>
      </c>
    </row>
    <row r="251" spans="1:6" ht="14.25" customHeight="1" x14ac:dyDescent="0.2">
      <c r="A251" s="188" t="s">
        <v>1099</v>
      </c>
      <c r="B251" s="189"/>
      <c r="C251" s="189"/>
      <c r="D251" s="189"/>
      <c r="E251" s="84">
        <v>134899.20000000001</v>
      </c>
    </row>
    <row r="252" spans="1:6" ht="14.25" customHeight="1" x14ac:dyDescent="0.2">
      <c r="A252" s="193" t="s">
        <v>1152</v>
      </c>
      <c r="B252" s="194"/>
      <c r="C252" s="194"/>
      <c r="D252" s="194"/>
      <c r="E252" s="148">
        <v>0</v>
      </c>
    </row>
    <row r="253" spans="1:6" ht="14.25" customHeight="1" x14ac:dyDescent="0.2">
      <c r="A253" s="190" t="s">
        <v>1163</v>
      </c>
      <c r="B253" s="191"/>
      <c r="C253" s="191"/>
      <c r="D253" s="191"/>
      <c r="E253" s="86">
        <f>(E250-E252)</f>
        <v>134899.19999999998</v>
      </c>
    </row>
    <row r="254" spans="1:6" x14ac:dyDescent="0.2">
      <c r="A254" s="81"/>
      <c r="B254" s="82"/>
      <c r="C254" s="82"/>
      <c r="E254" s="83"/>
    </row>
    <row r="255" spans="1:6" ht="17.25" customHeight="1" x14ac:dyDescent="0.2">
      <c r="A255" s="147" t="s">
        <v>1100</v>
      </c>
      <c r="B255" s="192" t="s">
        <v>756</v>
      </c>
      <c r="C255" s="192"/>
      <c r="D255" s="192"/>
      <c r="E255" s="192"/>
    </row>
    <row r="256" spans="1:6" s="43" customFormat="1" ht="26.25" customHeight="1" x14ac:dyDescent="0.2">
      <c r="A256" s="45" t="s">
        <v>1101</v>
      </c>
      <c r="B256" s="198" t="s">
        <v>874</v>
      </c>
      <c r="C256" s="198"/>
      <c r="D256" s="198"/>
      <c r="E256" s="198"/>
      <c r="F256" s="43" t="s">
        <v>1041</v>
      </c>
    </row>
    <row r="257" spans="1:6" ht="14.25" customHeight="1" x14ac:dyDescent="0.2">
      <c r="A257" s="188" t="s">
        <v>1164</v>
      </c>
      <c r="B257" s="189"/>
      <c r="C257" s="189"/>
      <c r="D257" s="189"/>
      <c r="E257" s="84">
        <f>'24.0'!E31</f>
        <v>445.48</v>
      </c>
    </row>
    <row r="258" spans="1:6" ht="14.25" customHeight="1" x14ac:dyDescent="0.2">
      <c r="A258" s="188" t="s">
        <v>1102</v>
      </c>
      <c r="B258" s="189"/>
      <c r="C258" s="189"/>
      <c r="D258" s="189"/>
      <c r="E258" s="84">
        <v>445.48</v>
      </c>
    </row>
    <row r="259" spans="1:6" ht="14.25" customHeight="1" x14ac:dyDescent="0.2">
      <c r="A259" s="188" t="s">
        <v>1157</v>
      </c>
      <c r="B259" s="189"/>
      <c r="C259" s="189"/>
      <c r="D259" s="189"/>
      <c r="E259" s="84">
        <v>0</v>
      </c>
    </row>
    <row r="260" spans="1:6" ht="14.25" customHeight="1" x14ac:dyDescent="0.2">
      <c r="A260" s="190" t="s">
        <v>1165</v>
      </c>
      <c r="B260" s="191"/>
      <c r="C260" s="191"/>
      <c r="D260" s="191"/>
      <c r="E260" s="86">
        <f>(E257-E259)</f>
        <v>445.48</v>
      </c>
    </row>
    <row r="261" spans="1:6" x14ac:dyDescent="0.2">
      <c r="A261" s="34"/>
      <c r="E261" s="36"/>
    </row>
    <row r="262" spans="1:6" s="43" customFormat="1" ht="39.75" customHeight="1" x14ac:dyDescent="0.2">
      <c r="A262" s="45" t="s">
        <v>1103</v>
      </c>
      <c r="B262" s="198" t="s">
        <v>876</v>
      </c>
      <c r="C262" s="198"/>
      <c r="D262" s="198"/>
      <c r="E262" s="198"/>
      <c r="F262" s="43" t="s">
        <v>1041</v>
      </c>
    </row>
    <row r="263" spans="1:6" ht="15" customHeight="1" x14ac:dyDescent="0.2">
      <c r="A263" s="195" t="s">
        <v>1065</v>
      </c>
      <c r="B263" s="195"/>
      <c r="C263" s="195"/>
      <c r="D263" s="188"/>
      <c r="E263" s="54">
        <f>'[2]24.0'!E37</f>
        <v>45.8</v>
      </c>
    </row>
    <row r="264" spans="1:6" ht="15" customHeight="1" x14ac:dyDescent="0.2">
      <c r="A264" s="195" t="s">
        <v>1010</v>
      </c>
      <c r="B264" s="195"/>
      <c r="C264" s="195"/>
      <c r="D264" s="188"/>
      <c r="E264" s="54">
        <v>45.8</v>
      </c>
    </row>
    <row r="265" spans="1:6" ht="15" customHeight="1" x14ac:dyDescent="0.2">
      <c r="A265" s="195" t="s">
        <v>1121</v>
      </c>
      <c r="B265" s="195"/>
      <c r="C265" s="195"/>
      <c r="D265" s="188"/>
      <c r="E265" s="54">
        <v>0</v>
      </c>
    </row>
    <row r="266" spans="1:6" ht="15" customHeight="1" x14ac:dyDescent="0.2">
      <c r="A266" s="197" t="s">
        <v>1166</v>
      </c>
      <c r="B266" s="197"/>
      <c r="C266" s="197"/>
      <c r="D266" s="190"/>
      <c r="E266" s="125">
        <f>E263</f>
        <v>45.8</v>
      </c>
    </row>
    <row r="267" spans="1:6" x14ac:dyDescent="0.2">
      <c r="A267" s="34"/>
      <c r="E267" s="36"/>
    </row>
    <row r="268" spans="1:6" s="43" customFormat="1" ht="33" customHeight="1" x14ac:dyDescent="0.2">
      <c r="A268" s="45" t="s">
        <v>1104</v>
      </c>
      <c r="B268" s="198" t="s">
        <v>878</v>
      </c>
      <c r="C268" s="198"/>
      <c r="D268" s="198"/>
      <c r="E268" s="198"/>
      <c r="F268" s="43" t="s">
        <v>1041</v>
      </c>
    </row>
    <row r="269" spans="1:6" ht="14.25" customHeight="1" x14ac:dyDescent="0.2">
      <c r="A269" s="188" t="s">
        <v>1084</v>
      </c>
      <c r="B269" s="189"/>
      <c r="C269" s="189"/>
      <c r="D269" s="189"/>
      <c r="E269" s="84">
        <f>'[2]24.0'!E46</f>
        <v>445.47779000000003</v>
      </c>
    </row>
    <row r="270" spans="1:6" ht="14.25" customHeight="1" x14ac:dyDescent="0.2">
      <c r="A270" s="188" t="s">
        <v>1085</v>
      </c>
      <c r="B270" s="189"/>
      <c r="C270" s="189"/>
      <c r="D270" s="189"/>
      <c r="E270" s="84">
        <v>445.48</v>
      </c>
    </row>
    <row r="271" spans="1:6" ht="14.25" customHeight="1" x14ac:dyDescent="0.2">
      <c r="A271" s="188" t="s">
        <v>1119</v>
      </c>
      <c r="B271" s="189"/>
      <c r="C271" s="189"/>
      <c r="D271" s="189"/>
      <c r="E271" s="84">
        <v>0</v>
      </c>
    </row>
    <row r="272" spans="1:6" ht="14.25" customHeight="1" x14ac:dyDescent="0.2">
      <c r="A272" s="190" t="s">
        <v>1161</v>
      </c>
      <c r="B272" s="191"/>
      <c r="C272" s="191"/>
      <c r="D272" s="191"/>
      <c r="E272" s="86">
        <f>E269</f>
        <v>445.47779000000003</v>
      </c>
    </row>
    <row r="273" spans="1:5" x14ac:dyDescent="0.2">
      <c r="A273" s="136"/>
      <c r="B273" s="48"/>
      <c r="C273" s="48"/>
      <c r="D273" s="48"/>
      <c r="E273" s="137"/>
    </row>
  </sheetData>
  <mergeCells count="222">
    <mergeCell ref="A11:E11"/>
    <mergeCell ref="B20:E20"/>
    <mergeCell ref="B21:E21"/>
    <mergeCell ref="A22:D22"/>
    <mergeCell ref="A23:D23"/>
    <mergeCell ref="A25:D25"/>
    <mergeCell ref="B13:E13"/>
    <mergeCell ref="B14:E14"/>
    <mergeCell ref="A15:D15"/>
    <mergeCell ref="A16:D16"/>
    <mergeCell ref="A17:D17"/>
    <mergeCell ref="A18:D18"/>
    <mergeCell ref="A24:D24"/>
    <mergeCell ref="A35:D35"/>
    <mergeCell ref="A36:D36"/>
    <mergeCell ref="A38:D38"/>
    <mergeCell ref="B40:E40"/>
    <mergeCell ref="B41:E41"/>
    <mergeCell ref="B42:E42"/>
    <mergeCell ref="B27:E27"/>
    <mergeCell ref="A28:D28"/>
    <mergeCell ref="A29:D29"/>
    <mergeCell ref="A31:D31"/>
    <mergeCell ref="B33:E33"/>
    <mergeCell ref="B34:E34"/>
    <mergeCell ref="A30:D30"/>
    <mergeCell ref="A37:D37"/>
    <mergeCell ref="A52:D52"/>
    <mergeCell ref="B54:E54"/>
    <mergeCell ref="A55:D55"/>
    <mergeCell ref="A56:D56"/>
    <mergeCell ref="A58:D58"/>
    <mergeCell ref="B60:E60"/>
    <mergeCell ref="A43:D43"/>
    <mergeCell ref="A44:D44"/>
    <mergeCell ref="A46:D46"/>
    <mergeCell ref="B48:E48"/>
    <mergeCell ref="A49:D49"/>
    <mergeCell ref="A50:D50"/>
    <mergeCell ref="A45:D45"/>
    <mergeCell ref="A51:D51"/>
    <mergeCell ref="A57:D57"/>
    <mergeCell ref="A68:D68"/>
    <mergeCell ref="A69:D69"/>
    <mergeCell ref="A71:D71"/>
    <mergeCell ref="A61:D61"/>
    <mergeCell ref="A62:D62"/>
    <mergeCell ref="A64:D64"/>
    <mergeCell ref="A65:B65"/>
    <mergeCell ref="B66:E66"/>
    <mergeCell ref="B67:E67"/>
    <mergeCell ref="A63:D63"/>
    <mergeCell ref="A70:D70"/>
    <mergeCell ref="B80:E80"/>
    <mergeCell ref="B87:E87"/>
    <mergeCell ref="A76:D76"/>
    <mergeCell ref="B73:E73"/>
    <mergeCell ref="A74:D74"/>
    <mergeCell ref="A75:D75"/>
    <mergeCell ref="A77:D77"/>
    <mergeCell ref="B79:E79"/>
    <mergeCell ref="A97:D97"/>
    <mergeCell ref="B81:E81"/>
    <mergeCell ref="A82:D82"/>
    <mergeCell ref="A83:D83"/>
    <mergeCell ref="A84:D84"/>
    <mergeCell ref="A85:D85"/>
    <mergeCell ref="B99:E99"/>
    <mergeCell ref="A100:D100"/>
    <mergeCell ref="A101:D101"/>
    <mergeCell ref="A103:D103"/>
    <mergeCell ref="B105:E105"/>
    <mergeCell ref="A88:D88"/>
    <mergeCell ref="A89:D89"/>
    <mergeCell ref="A91:D91"/>
    <mergeCell ref="B93:E93"/>
    <mergeCell ref="A94:D94"/>
    <mergeCell ref="A95:D95"/>
    <mergeCell ref="A90:D90"/>
    <mergeCell ref="A96:D96"/>
    <mergeCell ref="A102:D102"/>
    <mergeCell ref="A115:D115"/>
    <mergeCell ref="B117:E117"/>
    <mergeCell ref="A106:D106"/>
    <mergeCell ref="A107:D107"/>
    <mergeCell ref="A109:D109"/>
    <mergeCell ref="B111:E111"/>
    <mergeCell ref="A112:D112"/>
    <mergeCell ref="A113:D113"/>
    <mergeCell ref="A108:D108"/>
    <mergeCell ref="A114:D114"/>
    <mergeCell ref="A126:D126"/>
    <mergeCell ref="A128:D128"/>
    <mergeCell ref="B130:E130"/>
    <mergeCell ref="A131:D131"/>
    <mergeCell ref="A132:D132"/>
    <mergeCell ref="A134:D134"/>
    <mergeCell ref="B118:E118"/>
    <mergeCell ref="A119:D119"/>
    <mergeCell ref="A120:D120"/>
    <mergeCell ref="A122:D122"/>
    <mergeCell ref="B124:E124"/>
    <mergeCell ref="A125:D125"/>
    <mergeCell ref="A121:D121"/>
    <mergeCell ref="A127:D127"/>
    <mergeCell ref="A133:D133"/>
    <mergeCell ref="A138:D138"/>
    <mergeCell ref="A140:D140"/>
    <mergeCell ref="B136:E136"/>
    <mergeCell ref="A137:D137"/>
    <mergeCell ref="A139:D139"/>
    <mergeCell ref="A144:D144"/>
    <mergeCell ref="A146:D146"/>
    <mergeCell ref="B148:E148"/>
    <mergeCell ref="A149:D149"/>
    <mergeCell ref="A150:D150"/>
    <mergeCell ref="A152:D152"/>
    <mergeCell ref="B142:E142"/>
    <mergeCell ref="A143:D143"/>
    <mergeCell ref="A145:D145"/>
    <mergeCell ref="A151:D151"/>
    <mergeCell ref="A163:D163"/>
    <mergeCell ref="B154:E154"/>
    <mergeCell ref="A155:D155"/>
    <mergeCell ref="A156:D156"/>
    <mergeCell ref="A158:D158"/>
    <mergeCell ref="A157:D157"/>
    <mergeCell ref="A168:D168"/>
    <mergeCell ref="A170:D170"/>
    <mergeCell ref="B172:E172"/>
    <mergeCell ref="A173:D173"/>
    <mergeCell ref="A174:D174"/>
    <mergeCell ref="A176:D176"/>
    <mergeCell ref="B160:E160"/>
    <mergeCell ref="A161:D161"/>
    <mergeCell ref="A162:D162"/>
    <mergeCell ref="A164:D164"/>
    <mergeCell ref="B166:E166"/>
    <mergeCell ref="A167:D167"/>
    <mergeCell ref="A169:D169"/>
    <mergeCell ref="A175:D175"/>
    <mergeCell ref="B178:E178"/>
    <mergeCell ref="B179:E179"/>
    <mergeCell ref="A180:D180"/>
    <mergeCell ref="A181:D181"/>
    <mergeCell ref="A183:D183"/>
    <mergeCell ref="A184:B184"/>
    <mergeCell ref="A182:D182"/>
    <mergeCell ref="A188:D188"/>
    <mergeCell ref="B185:E185"/>
    <mergeCell ref="A186:D186"/>
    <mergeCell ref="A187:D187"/>
    <mergeCell ref="A189:D189"/>
    <mergeCell ref="B191:E191"/>
    <mergeCell ref="A192:D192"/>
    <mergeCell ref="A193:D193"/>
    <mergeCell ref="A195:D195"/>
    <mergeCell ref="B197:E197"/>
    <mergeCell ref="A194:D194"/>
    <mergeCell ref="A205:D205"/>
    <mergeCell ref="A200:D200"/>
    <mergeCell ref="B215:E215"/>
    <mergeCell ref="A216:D216"/>
    <mergeCell ref="A217:D217"/>
    <mergeCell ref="A210:D210"/>
    <mergeCell ref="A211:D211"/>
    <mergeCell ref="A213:D213"/>
    <mergeCell ref="A207:D207"/>
    <mergeCell ref="B209:E209"/>
    <mergeCell ref="A198:D198"/>
    <mergeCell ref="A199:D199"/>
    <mergeCell ref="A201:D201"/>
    <mergeCell ref="B203:E203"/>
    <mergeCell ref="A204:D204"/>
    <mergeCell ref="A206:D206"/>
    <mergeCell ref="A235:D235"/>
    <mergeCell ref="A236:D236"/>
    <mergeCell ref="A237:D237"/>
    <mergeCell ref="A238:D238"/>
    <mergeCell ref="B240:E240"/>
    <mergeCell ref="A241:D241"/>
    <mergeCell ref="A242:D242"/>
    <mergeCell ref="A243:D243"/>
    <mergeCell ref="A244:D244"/>
    <mergeCell ref="A269:D269"/>
    <mergeCell ref="A270:D270"/>
    <mergeCell ref="A272:D272"/>
    <mergeCell ref="B256:E256"/>
    <mergeCell ref="A257:D257"/>
    <mergeCell ref="A259:D259"/>
    <mergeCell ref="A260:D260"/>
    <mergeCell ref="B262:E262"/>
    <mergeCell ref="A263:D263"/>
    <mergeCell ref="A265:D265"/>
    <mergeCell ref="A266:D266"/>
    <mergeCell ref="B268:E268"/>
    <mergeCell ref="A264:D264"/>
    <mergeCell ref="A271:D271"/>
    <mergeCell ref="A258:D258"/>
    <mergeCell ref="A250:D250"/>
    <mergeCell ref="A251:D251"/>
    <mergeCell ref="A253:D253"/>
    <mergeCell ref="B255:E255"/>
    <mergeCell ref="A252:D252"/>
    <mergeCell ref="A229:D229"/>
    <mergeCell ref="A218:D218"/>
    <mergeCell ref="A212:D212"/>
    <mergeCell ref="A225:D225"/>
    <mergeCell ref="A224:D224"/>
    <mergeCell ref="B246:E246"/>
    <mergeCell ref="B248:E248"/>
    <mergeCell ref="B249:E249"/>
    <mergeCell ref="A219:D219"/>
    <mergeCell ref="B221:E221"/>
    <mergeCell ref="A222:D222"/>
    <mergeCell ref="A223:D223"/>
    <mergeCell ref="B227:E227"/>
    <mergeCell ref="A228:D228"/>
    <mergeCell ref="A230:D230"/>
    <mergeCell ref="A231:D231"/>
    <mergeCell ref="B233:E233"/>
    <mergeCell ref="B234:E234"/>
  </mergeCells>
  <pageMargins left="0.51181102362204722" right="0.51181102362204722" top="0.78740157480314965" bottom="0.78740157480314965" header="0.31496062992125984" footer="0.31496062992125984"/>
  <pageSetup paperSize="9" scale="90" orientation="portrait" verticalDpi="360" r:id="rId1"/>
  <headerFooter>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66D34-0629-4E1C-ABED-04076421B81D}">
  <sheetPr>
    <tabColor rgb="FFFFC000"/>
  </sheetPr>
  <dimension ref="A1:E29"/>
  <sheetViews>
    <sheetView view="pageBreakPreview" zoomScale="90" zoomScaleNormal="95" zoomScaleSheetLayoutView="90" workbookViewId="0">
      <selection activeCell="B14" sqref="B14:E14"/>
    </sheetView>
  </sheetViews>
  <sheetFormatPr defaultRowHeight="12.75" x14ac:dyDescent="0.2"/>
  <cols>
    <col min="1" max="1" width="14.625" style="35" customWidth="1"/>
    <col min="2" max="2" width="15.625" style="35" customWidth="1"/>
    <col min="3" max="3" width="16.625" style="35" customWidth="1"/>
    <col min="4" max="4" width="18.125" style="35" customWidth="1"/>
    <col min="5" max="5" width="12.75" style="42" customWidth="1"/>
    <col min="6" max="16384" width="9" style="33"/>
  </cols>
  <sheetData>
    <row r="1" spans="1:5" x14ac:dyDescent="0.2">
      <c r="A1" s="30"/>
      <c r="B1" s="31"/>
      <c r="C1" s="31"/>
      <c r="D1" s="31"/>
      <c r="E1" s="32"/>
    </row>
    <row r="2" spans="1:5" x14ac:dyDescent="0.2">
      <c r="A2" s="34"/>
      <c r="E2" s="36"/>
    </row>
    <row r="3" spans="1:5" x14ac:dyDescent="0.2">
      <c r="A3" s="34"/>
      <c r="E3" s="36"/>
    </row>
    <row r="4" spans="1:5" ht="19.5" customHeight="1" x14ac:dyDescent="0.2">
      <c r="A4" s="34"/>
      <c r="E4" s="36"/>
    </row>
    <row r="5" spans="1:5" x14ac:dyDescent="0.2">
      <c r="A5" s="38"/>
      <c r="B5" s="38"/>
      <c r="C5" s="39"/>
      <c r="D5" s="39"/>
      <c r="E5" s="76"/>
    </row>
    <row r="6" spans="1:5" x14ac:dyDescent="0.2">
      <c r="A6" s="38" t="s">
        <v>820</v>
      </c>
      <c r="B6" s="38"/>
      <c r="C6" s="39"/>
      <c r="D6" s="39"/>
      <c r="E6" s="76"/>
    </row>
    <row r="7" spans="1:5" x14ac:dyDescent="0.2">
      <c r="A7" s="38" t="s">
        <v>2</v>
      </c>
      <c r="B7" s="38"/>
      <c r="C7" s="39"/>
      <c r="D7" s="39"/>
      <c r="E7" s="76"/>
    </row>
    <row r="8" spans="1:5" x14ac:dyDescent="0.2">
      <c r="A8" s="38" t="s">
        <v>8</v>
      </c>
      <c r="B8" s="38"/>
      <c r="C8" s="39"/>
      <c r="D8" s="39"/>
      <c r="E8" s="76"/>
    </row>
    <row r="9" spans="1:5" x14ac:dyDescent="0.2">
      <c r="A9" s="37" t="s">
        <v>844</v>
      </c>
      <c r="B9" s="38"/>
      <c r="C9" s="39"/>
      <c r="D9" s="39"/>
      <c r="E9" s="76"/>
    </row>
    <row r="10" spans="1:5" ht="13.5" thickBot="1" x14ac:dyDescent="0.25">
      <c r="A10" s="77"/>
      <c r="B10" s="77"/>
      <c r="C10" s="77"/>
      <c r="D10" s="77"/>
      <c r="E10" s="77"/>
    </row>
    <row r="11" spans="1:5" s="43" customFormat="1" ht="21" customHeight="1" thickBot="1" x14ac:dyDescent="0.25">
      <c r="A11" s="208" t="s">
        <v>886</v>
      </c>
      <c r="B11" s="209"/>
      <c r="C11" s="209"/>
      <c r="D11" s="209"/>
      <c r="E11" s="210"/>
    </row>
    <row r="12" spans="1:5" x14ac:dyDescent="0.2">
      <c r="A12" s="34"/>
      <c r="E12" s="36"/>
    </row>
    <row r="13" spans="1:5" ht="17.25" customHeight="1" x14ac:dyDescent="0.2">
      <c r="A13" s="44" t="s">
        <v>879</v>
      </c>
      <c r="B13" s="199" t="s">
        <v>37</v>
      </c>
      <c r="C13" s="199"/>
      <c r="D13" s="199"/>
      <c r="E13" s="199"/>
    </row>
    <row r="14" spans="1:5" s="43" customFormat="1" ht="26.25" customHeight="1" x14ac:dyDescent="0.2">
      <c r="A14" s="78" t="s">
        <v>880</v>
      </c>
      <c r="B14" s="214" t="s">
        <v>39</v>
      </c>
      <c r="C14" s="214"/>
      <c r="D14" s="214"/>
      <c r="E14" s="214"/>
    </row>
    <row r="15" spans="1:5" ht="12.75" customHeight="1" x14ac:dyDescent="0.2">
      <c r="A15" s="215" t="s">
        <v>881</v>
      </c>
      <c r="B15" s="216"/>
      <c r="C15" s="216"/>
      <c r="D15" s="216"/>
      <c r="E15" s="79">
        <f>6.55*4.8</f>
        <v>31.439999999999998</v>
      </c>
    </row>
    <row r="16" spans="1:5" ht="12.75" customHeight="1" x14ac:dyDescent="0.2">
      <c r="A16" s="188" t="s">
        <v>898</v>
      </c>
      <c r="B16" s="189"/>
      <c r="C16" s="189"/>
      <c r="D16" s="189"/>
      <c r="E16" s="89">
        <f>E15</f>
        <v>31.439999999999998</v>
      </c>
    </row>
    <row r="17" spans="1:5" ht="12.75" customHeight="1" x14ac:dyDescent="0.2">
      <c r="A17" s="71"/>
      <c r="B17" s="85"/>
      <c r="C17" s="85"/>
      <c r="D17" s="85"/>
      <c r="E17" s="89"/>
    </row>
    <row r="18" spans="1:5" ht="14.25" customHeight="1" x14ac:dyDescent="0.2">
      <c r="A18" s="188" t="s">
        <v>897</v>
      </c>
      <c r="B18" s="189"/>
      <c r="C18" s="189"/>
      <c r="D18" s="189"/>
      <c r="E18" s="84">
        <v>18</v>
      </c>
    </row>
    <row r="19" spans="1:5" ht="14.25" customHeight="1" x14ac:dyDescent="0.2">
      <c r="A19" s="188" t="s">
        <v>882</v>
      </c>
      <c r="B19" s="189"/>
      <c r="C19" s="189"/>
      <c r="D19" s="189"/>
      <c r="E19" s="84">
        <v>31.44</v>
      </c>
    </row>
    <row r="20" spans="1:5" ht="14.25" customHeight="1" x14ac:dyDescent="0.2">
      <c r="A20" s="190" t="s">
        <v>887</v>
      </c>
      <c r="B20" s="191"/>
      <c r="C20" s="191"/>
      <c r="D20" s="191"/>
      <c r="E20" s="86">
        <f>E19-E18</f>
        <v>13.440000000000001</v>
      </c>
    </row>
    <row r="21" spans="1:5" x14ac:dyDescent="0.2">
      <c r="A21" s="81"/>
      <c r="B21" s="82"/>
      <c r="C21" s="82"/>
      <c r="E21" s="83"/>
    </row>
    <row r="22" spans="1:5" s="43" customFormat="1" ht="30" customHeight="1" x14ac:dyDescent="0.2">
      <c r="A22" s="78" t="s">
        <v>883</v>
      </c>
      <c r="B22" s="214" t="s">
        <v>41</v>
      </c>
      <c r="C22" s="214"/>
      <c r="D22" s="214"/>
      <c r="E22" s="214"/>
    </row>
    <row r="23" spans="1:5" ht="12.75" customHeight="1" x14ac:dyDescent="0.2">
      <c r="A23" s="215" t="s">
        <v>884</v>
      </c>
      <c r="B23" s="216"/>
      <c r="C23" s="216"/>
      <c r="D23" s="216"/>
      <c r="E23" s="79">
        <f>3.55*4.8</f>
        <v>17.04</v>
      </c>
    </row>
    <row r="24" spans="1:5" ht="14.25" customHeight="1" x14ac:dyDescent="0.2">
      <c r="A24" s="188" t="s">
        <v>900</v>
      </c>
      <c r="B24" s="189"/>
      <c r="C24" s="189"/>
      <c r="D24" s="189"/>
      <c r="E24" s="84">
        <f>E23</f>
        <v>17.04</v>
      </c>
    </row>
    <row r="25" spans="1:5" ht="14.25" customHeight="1" x14ac:dyDescent="0.2">
      <c r="A25" s="71"/>
      <c r="B25" s="85"/>
      <c r="C25" s="85"/>
      <c r="D25" s="85"/>
      <c r="E25" s="84"/>
    </row>
    <row r="26" spans="1:5" ht="14.25" customHeight="1" x14ac:dyDescent="0.2">
      <c r="A26" s="188" t="s">
        <v>899</v>
      </c>
      <c r="B26" s="189"/>
      <c r="C26" s="189"/>
      <c r="D26" s="189"/>
      <c r="E26" s="84">
        <v>15</v>
      </c>
    </row>
    <row r="27" spans="1:5" ht="14.25" customHeight="1" x14ac:dyDescent="0.2">
      <c r="A27" s="188" t="s">
        <v>885</v>
      </c>
      <c r="B27" s="189"/>
      <c r="C27" s="189"/>
      <c r="D27" s="189"/>
      <c r="E27" s="84">
        <v>17.04</v>
      </c>
    </row>
    <row r="28" spans="1:5" ht="14.25" customHeight="1" x14ac:dyDescent="0.2">
      <c r="A28" s="190" t="s">
        <v>888</v>
      </c>
      <c r="B28" s="191"/>
      <c r="C28" s="191"/>
      <c r="D28" s="191"/>
      <c r="E28" s="86">
        <f>E27-E26</f>
        <v>2.0399999999999991</v>
      </c>
    </row>
    <row r="29" spans="1:5" x14ac:dyDescent="0.2">
      <c r="A29" s="46"/>
      <c r="B29" s="47"/>
      <c r="C29" s="47"/>
      <c r="D29" s="48"/>
      <c r="E29" s="49"/>
    </row>
  </sheetData>
  <mergeCells count="14">
    <mergeCell ref="A28:D28"/>
    <mergeCell ref="A24:D24"/>
    <mergeCell ref="A11:E11"/>
    <mergeCell ref="B13:E13"/>
    <mergeCell ref="B14:E14"/>
    <mergeCell ref="A15:D15"/>
    <mergeCell ref="A18:D18"/>
    <mergeCell ref="A19:D19"/>
    <mergeCell ref="A16:D16"/>
    <mergeCell ref="A20:D20"/>
    <mergeCell ref="B22:E22"/>
    <mergeCell ref="A23:D23"/>
    <mergeCell ref="A26:D26"/>
    <mergeCell ref="A27:D27"/>
  </mergeCells>
  <pageMargins left="0.51181102362204722" right="0.51181102362204722" top="0.78740157480314965" bottom="0.78740157480314965" header="0.31496062992125984" footer="0.31496062992125984"/>
  <pageSetup paperSize="9" scale="90" orientation="portrait" verticalDpi="360" r:id="rId1"/>
  <headerFooter>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7DBA0-AE65-4914-9E69-60F47011E517}">
  <sheetPr>
    <tabColor rgb="FFFFC000"/>
  </sheetPr>
  <dimension ref="A1:E23"/>
  <sheetViews>
    <sheetView view="pageBreakPreview" zoomScale="90" zoomScaleNormal="95" zoomScaleSheetLayoutView="90" workbookViewId="0">
      <selection activeCell="E22" sqref="E22"/>
    </sheetView>
  </sheetViews>
  <sheetFormatPr defaultRowHeight="12.75" x14ac:dyDescent="0.2"/>
  <cols>
    <col min="1" max="1" width="14.625" style="35" customWidth="1"/>
    <col min="2" max="2" width="15.625" style="35" customWidth="1"/>
    <col min="3" max="3" width="21.125" style="35" customWidth="1"/>
    <col min="4" max="4" width="20.5" style="35" customWidth="1"/>
    <col min="5" max="5" width="12.75" style="42" customWidth="1"/>
    <col min="6" max="16384" width="9" style="33"/>
  </cols>
  <sheetData>
    <row r="1" spans="1:5" x14ac:dyDescent="0.2">
      <c r="A1" s="30"/>
      <c r="B1" s="31"/>
      <c r="C1" s="31"/>
      <c r="D1" s="31"/>
      <c r="E1" s="32"/>
    </row>
    <row r="2" spans="1:5" x14ac:dyDescent="0.2">
      <c r="A2" s="34"/>
      <c r="E2" s="36"/>
    </row>
    <row r="3" spans="1:5" x14ac:dyDescent="0.2">
      <c r="A3" s="34"/>
      <c r="E3" s="36"/>
    </row>
    <row r="4" spans="1:5" x14ac:dyDescent="0.2">
      <c r="A4" s="34"/>
      <c r="E4" s="36"/>
    </row>
    <row r="5" spans="1:5" x14ac:dyDescent="0.2">
      <c r="A5" s="38"/>
      <c r="B5" s="38"/>
      <c r="C5" s="39"/>
      <c r="D5" s="39"/>
      <c r="E5" s="76"/>
    </row>
    <row r="6" spans="1:5" x14ac:dyDescent="0.2">
      <c r="A6" s="38" t="s">
        <v>820</v>
      </c>
      <c r="B6" s="38"/>
      <c r="C6" s="39"/>
      <c r="D6" s="39"/>
      <c r="E6" s="76"/>
    </row>
    <row r="7" spans="1:5" x14ac:dyDescent="0.2">
      <c r="A7" s="38" t="s">
        <v>2</v>
      </c>
      <c r="B7" s="38"/>
      <c r="C7" s="39"/>
      <c r="D7" s="39"/>
      <c r="E7" s="76"/>
    </row>
    <row r="8" spans="1:5" x14ac:dyDescent="0.2">
      <c r="A8" s="38" t="s">
        <v>8</v>
      </c>
      <c r="B8" s="38"/>
      <c r="C8" s="39"/>
      <c r="D8" s="39"/>
      <c r="E8" s="76"/>
    </row>
    <row r="9" spans="1:5" x14ac:dyDescent="0.2">
      <c r="A9" s="37" t="s">
        <v>844</v>
      </c>
      <c r="B9" s="38"/>
      <c r="C9" s="39"/>
      <c r="D9" s="39"/>
      <c r="E9" s="76"/>
    </row>
    <row r="10" spans="1:5" ht="13.5" thickBot="1" x14ac:dyDescent="0.25">
      <c r="A10" s="77"/>
      <c r="B10" s="77"/>
      <c r="C10" s="77"/>
      <c r="D10" s="77"/>
      <c r="E10" s="77"/>
    </row>
    <row r="11" spans="1:5" s="43" customFormat="1" ht="21" customHeight="1" thickBot="1" x14ac:dyDescent="0.25">
      <c r="A11" s="208" t="s">
        <v>896</v>
      </c>
      <c r="B11" s="209"/>
      <c r="C11" s="209"/>
      <c r="D11" s="209"/>
      <c r="E11" s="210"/>
    </row>
    <row r="12" spans="1:5" x14ac:dyDescent="0.2">
      <c r="A12" s="34"/>
      <c r="E12" s="36"/>
    </row>
    <row r="13" spans="1:5" ht="17.25" customHeight="1" x14ac:dyDescent="0.2">
      <c r="A13" s="44" t="s">
        <v>889</v>
      </c>
      <c r="B13" s="199" t="s">
        <v>54</v>
      </c>
      <c r="C13" s="199"/>
      <c r="D13" s="199"/>
      <c r="E13" s="199"/>
    </row>
    <row r="14" spans="1:5" s="43" customFormat="1" ht="26.25" customHeight="1" x14ac:dyDescent="0.2">
      <c r="A14" s="78" t="s">
        <v>890</v>
      </c>
      <c r="B14" s="214" t="s">
        <v>891</v>
      </c>
      <c r="C14" s="214"/>
      <c r="D14" s="214"/>
      <c r="E14" s="214"/>
    </row>
    <row r="15" spans="1:5" ht="12.75" customHeight="1" x14ac:dyDescent="0.2">
      <c r="A15" s="215" t="s">
        <v>892</v>
      </c>
      <c r="B15" s="216"/>
      <c r="C15" s="216"/>
      <c r="D15" s="216"/>
      <c r="E15" s="87">
        <f>30*1.8*0.15</f>
        <v>8.1</v>
      </c>
    </row>
    <row r="16" spans="1:5" ht="12.75" customHeight="1" x14ac:dyDescent="0.2">
      <c r="A16" s="217" t="s">
        <v>893</v>
      </c>
      <c r="B16" s="218"/>
      <c r="C16" s="218"/>
      <c r="D16" s="218"/>
      <c r="E16" s="88">
        <f>30*1*0.3</f>
        <v>9</v>
      </c>
    </row>
    <row r="17" spans="1:5" ht="12.75" customHeight="1" x14ac:dyDescent="0.2">
      <c r="A17" s="217" t="s">
        <v>894</v>
      </c>
      <c r="B17" s="218"/>
      <c r="C17" s="218"/>
      <c r="D17" s="218"/>
      <c r="E17" s="89">
        <f>5.2*2.1*0.15</f>
        <v>1.6380000000000001</v>
      </c>
    </row>
    <row r="18" spans="1:5" ht="14.25" customHeight="1" x14ac:dyDescent="0.2">
      <c r="A18" s="188" t="s">
        <v>901</v>
      </c>
      <c r="B18" s="189"/>
      <c r="C18" s="189"/>
      <c r="D18" s="189"/>
      <c r="E18" s="84">
        <f>SUM(E15:E17)</f>
        <v>18.738000000000003</v>
      </c>
    </row>
    <row r="19" spans="1:5" ht="14.25" customHeight="1" x14ac:dyDescent="0.2">
      <c r="A19" s="71"/>
      <c r="B19" s="85"/>
      <c r="C19" s="85"/>
      <c r="D19" s="85"/>
      <c r="E19" s="84"/>
    </row>
    <row r="20" spans="1:5" ht="14.25" customHeight="1" x14ac:dyDescent="0.2">
      <c r="A20" s="188" t="s">
        <v>902</v>
      </c>
      <c r="B20" s="189"/>
      <c r="C20" s="189"/>
      <c r="D20" s="189"/>
      <c r="E20" s="84">
        <v>17.100000000000001</v>
      </c>
    </row>
    <row r="21" spans="1:5" ht="14.25" customHeight="1" x14ac:dyDescent="0.2">
      <c r="A21" s="188" t="s">
        <v>895</v>
      </c>
      <c r="B21" s="189"/>
      <c r="C21" s="189"/>
      <c r="D21" s="189"/>
      <c r="E21" s="84">
        <v>18.739999999999998</v>
      </c>
    </row>
    <row r="22" spans="1:5" ht="14.25" customHeight="1" x14ac:dyDescent="0.2">
      <c r="A22" s="190" t="s">
        <v>903</v>
      </c>
      <c r="B22" s="191"/>
      <c r="C22" s="191"/>
      <c r="D22" s="191"/>
      <c r="E22" s="86">
        <f>E21-E20</f>
        <v>1.639999999999997</v>
      </c>
    </row>
    <row r="23" spans="1:5" x14ac:dyDescent="0.2">
      <c r="A23" s="46"/>
      <c r="B23" s="47"/>
      <c r="C23" s="47"/>
      <c r="D23" s="48"/>
      <c r="E23" s="49"/>
    </row>
  </sheetData>
  <mergeCells count="10">
    <mergeCell ref="A18:D18"/>
    <mergeCell ref="A21:D21"/>
    <mergeCell ref="A22:D22"/>
    <mergeCell ref="A20:D20"/>
    <mergeCell ref="A11:E11"/>
    <mergeCell ref="B13:E13"/>
    <mergeCell ref="B14:E14"/>
    <mergeCell ref="A15:D15"/>
    <mergeCell ref="A16:D16"/>
    <mergeCell ref="A17:D17"/>
  </mergeCells>
  <printOptions horizontalCentered="1"/>
  <pageMargins left="0.51181102362204722" right="0.51181102362204722" top="0.78740157480314965" bottom="0.78740157480314965" header="0.31496062992125984" footer="0.31496062992125984"/>
  <pageSetup paperSize="9" scale="90" orientation="portrait" verticalDpi="360" r:id="rId1"/>
  <headerFooter>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D8A77-8A41-485B-AA6E-212495122140}">
  <sheetPr>
    <tabColor rgb="FFFFC000"/>
  </sheetPr>
  <dimension ref="A1:F282"/>
  <sheetViews>
    <sheetView view="pageBreakPreview" topLeftCell="A10" zoomScale="90" zoomScaleNormal="95" zoomScaleSheetLayoutView="90" workbookViewId="0">
      <selection activeCell="B258" sqref="B258:E258"/>
    </sheetView>
  </sheetViews>
  <sheetFormatPr defaultRowHeight="12.75" x14ac:dyDescent="0.2"/>
  <cols>
    <col min="1" max="1" width="17.125" style="35" customWidth="1"/>
    <col min="2" max="2" width="15.625" style="35" customWidth="1"/>
    <col min="3" max="3" width="15.875" style="35" customWidth="1"/>
    <col min="4" max="4" width="18.125" style="35" customWidth="1"/>
    <col min="5" max="5" width="21.25" style="42" customWidth="1"/>
    <col min="6" max="16384" width="9" style="33"/>
  </cols>
  <sheetData>
    <row r="1" spans="1:6" x14ac:dyDescent="0.2">
      <c r="A1" s="30"/>
      <c r="B1" s="31"/>
      <c r="C1" s="31"/>
      <c r="D1" s="31"/>
      <c r="E1" s="32"/>
    </row>
    <row r="2" spans="1:6" x14ac:dyDescent="0.2">
      <c r="A2" s="34"/>
      <c r="E2" s="36"/>
    </row>
    <row r="3" spans="1:6" x14ac:dyDescent="0.2">
      <c r="A3" s="34"/>
      <c r="E3" s="36"/>
    </row>
    <row r="4" spans="1:6" x14ac:dyDescent="0.2">
      <c r="A4" s="34"/>
      <c r="E4" s="36"/>
    </row>
    <row r="5" spans="1:6" x14ac:dyDescent="0.2">
      <c r="A5" s="38"/>
      <c r="B5" s="38"/>
      <c r="C5" s="39"/>
      <c r="D5" s="39"/>
      <c r="E5" s="76"/>
    </row>
    <row r="6" spans="1:6" x14ac:dyDescent="0.2">
      <c r="A6" s="38" t="s">
        <v>820</v>
      </c>
      <c r="B6" s="38"/>
      <c r="C6" s="39"/>
      <c r="D6" s="39"/>
      <c r="E6" s="76"/>
    </row>
    <row r="7" spans="1:6" x14ac:dyDescent="0.2">
      <c r="A7" s="38" t="s">
        <v>2</v>
      </c>
      <c r="B7" s="38"/>
      <c r="C7" s="39"/>
      <c r="D7" s="39"/>
      <c r="E7" s="76"/>
    </row>
    <row r="8" spans="1:6" x14ac:dyDescent="0.2">
      <c r="A8" s="38" t="s">
        <v>8</v>
      </c>
      <c r="B8" s="38"/>
      <c r="C8" s="39"/>
      <c r="D8" s="39"/>
      <c r="E8" s="76"/>
    </row>
    <row r="9" spans="1:6" x14ac:dyDescent="0.2">
      <c r="A9" s="37" t="s">
        <v>844</v>
      </c>
      <c r="B9" s="38"/>
      <c r="C9" s="39"/>
      <c r="D9" s="39"/>
      <c r="E9" s="76"/>
    </row>
    <row r="10" spans="1:6" ht="13.5" thickBot="1" x14ac:dyDescent="0.25">
      <c r="A10" s="77"/>
      <c r="B10" s="77"/>
      <c r="C10" s="77"/>
      <c r="D10" s="77"/>
      <c r="E10" s="77"/>
    </row>
    <row r="11" spans="1:6" s="43" customFormat="1" ht="21" customHeight="1" thickBot="1" x14ac:dyDescent="0.25">
      <c r="A11" s="208" t="s">
        <v>896</v>
      </c>
      <c r="B11" s="209"/>
      <c r="C11" s="209"/>
      <c r="D11" s="209"/>
      <c r="E11" s="209"/>
    </row>
    <row r="12" spans="1:6" x14ac:dyDescent="0.2">
      <c r="A12" s="34"/>
      <c r="E12" s="36"/>
    </row>
    <row r="13" spans="1:6" ht="17.25" customHeight="1" x14ac:dyDescent="0.2">
      <c r="A13" s="44" t="s">
        <v>904</v>
      </c>
      <c r="B13" s="199" t="s">
        <v>905</v>
      </c>
      <c r="C13" s="199"/>
      <c r="D13" s="199"/>
      <c r="E13" s="199"/>
    </row>
    <row r="14" spans="1:6" s="43" customFormat="1" ht="19.5" customHeight="1" x14ac:dyDescent="0.2">
      <c r="A14" s="78" t="s">
        <v>906</v>
      </c>
      <c r="B14" s="202" t="s">
        <v>63</v>
      </c>
      <c r="C14" s="202"/>
      <c r="D14" s="202"/>
      <c r="E14" s="202"/>
    </row>
    <row r="15" spans="1:6" s="43" customFormat="1" ht="39.75" customHeight="1" x14ac:dyDescent="0.2">
      <c r="A15" s="45" t="s">
        <v>907</v>
      </c>
      <c r="B15" s="211" t="s">
        <v>908</v>
      </c>
      <c r="C15" s="212"/>
      <c r="D15" s="212"/>
      <c r="E15" s="213"/>
      <c r="F15" s="43" t="s">
        <v>1041</v>
      </c>
    </row>
    <row r="16" spans="1:6" ht="14.25" customHeight="1" x14ac:dyDescent="0.2">
      <c r="A16" s="239" t="s">
        <v>909</v>
      </c>
      <c r="B16" s="240"/>
      <c r="C16" s="240"/>
      <c r="D16" s="252"/>
      <c r="E16" s="91">
        <v>1094</v>
      </c>
    </row>
    <row r="17" spans="1:6" ht="14.25" customHeight="1" x14ac:dyDescent="0.2">
      <c r="A17" s="188" t="s">
        <v>910</v>
      </c>
      <c r="B17" s="189"/>
      <c r="C17" s="189"/>
      <c r="D17" s="206"/>
      <c r="E17" s="92">
        <v>0.15</v>
      </c>
    </row>
    <row r="18" spans="1:6" ht="14.25" customHeight="1" x14ac:dyDescent="0.2">
      <c r="A18" s="188" t="s">
        <v>1014</v>
      </c>
      <c r="B18" s="189"/>
      <c r="C18" s="189"/>
      <c r="D18" s="206"/>
      <c r="E18" s="92">
        <f>E16*E17</f>
        <v>164.1</v>
      </c>
    </row>
    <row r="19" spans="1:6" ht="14.25" customHeight="1" x14ac:dyDescent="0.2">
      <c r="A19" s="80"/>
      <c r="B19" s="90"/>
      <c r="C19" s="90"/>
      <c r="D19" s="90"/>
      <c r="E19" s="93"/>
    </row>
    <row r="20" spans="1:6" ht="14.25" customHeight="1" x14ac:dyDescent="0.2">
      <c r="A20" s="188" t="s">
        <v>1015</v>
      </c>
      <c r="B20" s="189"/>
      <c r="C20" s="189"/>
      <c r="D20" s="206"/>
      <c r="E20" s="94">
        <v>150.12</v>
      </c>
    </row>
    <row r="21" spans="1:6" ht="14.25" customHeight="1" x14ac:dyDescent="0.2">
      <c r="A21" s="188" t="s">
        <v>911</v>
      </c>
      <c r="B21" s="189"/>
      <c r="C21" s="189"/>
      <c r="D21" s="206"/>
      <c r="E21" s="94">
        <v>164.1</v>
      </c>
    </row>
    <row r="22" spans="1:6" ht="14.25" customHeight="1" x14ac:dyDescent="0.2">
      <c r="A22" s="190" t="s">
        <v>1030</v>
      </c>
      <c r="B22" s="191"/>
      <c r="C22" s="191"/>
      <c r="D22" s="205"/>
      <c r="E22" s="124">
        <f>E18-E20</f>
        <v>13.97999999999999</v>
      </c>
    </row>
    <row r="23" spans="1:6" x14ac:dyDescent="0.2">
      <c r="A23" s="95"/>
      <c r="B23" s="96"/>
      <c r="C23" s="96"/>
      <c r="D23" s="64"/>
      <c r="E23" s="49"/>
    </row>
    <row r="24" spans="1:6" s="43" customFormat="1" ht="55.5" customHeight="1" x14ac:dyDescent="0.2">
      <c r="A24" s="45" t="s">
        <v>912</v>
      </c>
      <c r="B24" s="211" t="s">
        <v>913</v>
      </c>
      <c r="C24" s="212"/>
      <c r="D24" s="212"/>
      <c r="E24" s="213"/>
      <c r="F24" s="43" t="s">
        <v>1041</v>
      </c>
    </row>
    <row r="25" spans="1:6" ht="14.25" customHeight="1" x14ac:dyDescent="0.2">
      <c r="A25" s="248" t="s">
        <v>914</v>
      </c>
      <c r="B25" s="249"/>
      <c r="C25" s="249"/>
      <c r="D25" s="249"/>
      <c r="E25" s="250"/>
    </row>
    <row r="26" spans="1:6" ht="29.25" customHeight="1" x14ac:dyDescent="0.2">
      <c r="A26" s="217" t="s">
        <v>915</v>
      </c>
      <c r="B26" s="218"/>
      <c r="C26" s="218"/>
      <c r="D26" s="251"/>
      <c r="E26" s="92">
        <v>3849.76</v>
      </c>
    </row>
    <row r="27" spans="1:6" ht="14.25" customHeight="1" x14ac:dyDescent="0.2">
      <c r="A27" s="188" t="s">
        <v>1016</v>
      </c>
      <c r="B27" s="189"/>
      <c r="C27" s="189"/>
      <c r="D27" s="206"/>
      <c r="E27" s="92">
        <f>E26</f>
        <v>3849.76</v>
      </c>
    </row>
    <row r="28" spans="1:6" ht="14.25" customHeight="1" x14ac:dyDescent="0.2">
      <c r="A28" s="71"/>
      <c r="B28" s="85"/>
      <c r="C28" s="85"/>
      <c r="D28" s="85"/>
      <c r="E28" s="97"/>
    </row>
    <row r="29" spans="1:6" ht="14.25" customHeight="1" x14ac:dyDescent="0.2">
      <c r="A29" s="188" t="s">
        <v>1017</v>
      </c>
      <c r="B29" s="189"/>
      <c r="C29" s="189"/>
      <c r="D29" s="206"/>
      <c r="E29" s="92">
        <v>2843.85</v>
      </c>
    </row>
    <row r="30" spans="1:6" ht="14.25" customHeight="1" x14ac:dyDescent="0.2">
      <c r="A30" s="188" t="s">
        <v>916</v>
      </c>
      <c r="B30" s="189"/>
      <c r="C30" s="189"/>
      <c r="D30" s="206"/>
      <c r="E30" s="92">
        <v>3849.76</v>
      </c>
    </row>
    <row r="31" spans="1:6" ht="14.25" customHeight="1" x14ac:dyDescent="0.2">
      <c r="A31" s="190" t="s">
        <v>1029</v>
      </c>
      <c r="B31" s="191"/>
      <c r="C31" s="191"/>
      <c r="D31" s="205"/>
      <c r="E31" s="124">
        <f>E27-E29</f>
        <v>1005.9100000000003</v>
      </c>
    </row>
    <row r="32" spans="1:6" x14ac:dyDescent="0.2">
      <c r="A32" s="46"/>
      <c r="B32" s="47"/>
      <c r="C32" s="47"/>
      <c r="D32" s="48"/>
      <c r="E32" s="49"/>
    </row>
    <row r="33" spans="1:6" s="43" customFormat="1" ht="33.75" customHeight="1" x14ac:dyDescent="0.2">
      <c r="A33" s="45" t="s">
        <v>917</v>
      </c>
      <c r="B33" s="211" t="s">
        <v>918</v>
      </c>
      <c r="C33" s="212"/>
      <c r="D33" s="212"/>
      <c r="E33" s="213"/>
      <c r="F33" s="43" t="s">
        <v>1041</v>
      </c>
    </row>
    <row r="34" spans="1:6" ht="14.25" customHeight="1" x14ac:dyDescent="0.2">
      <c r="A34" s="245" t="s">
        <v>914</v>
      </c>
      <c r="B34" s="246"/>
      <c r="C34" s="246"/>
      <c r="D34" s="246"/>
      <c r="E34" s="247"/>
    </row>
    <row r="35" spans="1:6" ht="14.25" customHeight="1" x14ac:dyDescent="0.2">
      <c r="A35" s="188" t="s">
        <v>919</v>
      </c>
      <c r="B35" s="189"/>
      <c r="C35" s="189"/>
      <c r="D35" s="189"/>
      <c r="E35" s="98">
        <f>((E174+E143)-E98)+83.03</f>
        <v>286.53454999999997</v>
      </c>
    </row>
    <row r="36" spans="1:6" ht="29.25" customHeight="1" x14ac:dyDescent="0.2">
      <c r="A36" s="217" t="s">
        <v>920</v>
      </c>
      <c r="B36" s="218"/>
      <c r="C36" s="218"/>
      <c r="D36" s="218"/>
      <c r="E36" s="54">
        <f>E27+(3849.7659*0.3)</f>
        <v>5004.68977</v>
      </c>
    </row>
    <row r="37" spans="1:6" ht="14.25" customHeight="1" x14ac:dyDescent="0.2">
      <c r="A37" s="188" t="s">
        <v>921</v>
      </c>
      <c r="B37" s="189"/>
      <c r="C37" s="189"/>
      <c r="D37" s="189"/>
      <c r="E37" s="54">
        <v>14.002644</v>
      </c>
    </row>
    <row r="38" spans="1:6" ht="14.25" customHeight="1" x14ac:dyDescent="0.2">
      <c r="A38" s="188" t="s">
        <v>1018</v>
      </c>
      <c r="B38" s="189"/>
      <c r="C38" s="189"/>
      <c r="D38" s="189"/>
      <c r="E38" s="54">
        <f>(E36*E37)+E35</f>
        <v>70365.42372975187</v>
      </c>
    </row>
    <row r="39" spans="1:6" ht="14.25" customHeight="1" x14ac:dyDescent="0.2">
      <c r="A39" s="71"/>
      <c r="B39" s="85"/>
      <c r="C39" s="85"/>
      <c r="D39" s="85"/>
      <c r="E39" s="57"/>
    </row>
    <row r="40" spans="1:6" ht="14.25" customHeight="1" x14ac:dyDescent="0.2">
      <c r="A40" s="188" t="s">
        <v>1019</v>
      </c>
      <c r="B40" s="189"/>
      <c r="C40" s="189"/>
      <c r="D40" s="189"/>
      <c r="E40" s="54">
        <f>Planilha!H33</f>
        <v>4587.6000000000004</v>
      </c>
    </row>
    <row r="41" spans="1:6" ht="14.25" customHeight="1" x14ac:dyDescent="0.2">
      <c r="A41" s="188" t="s">
        <v>922</v>
      </c>
      <c r="B41" s="189"/>
      <c r="C41" s="189"/>
      <c r="D41" s="189"/>
      <c r="E41" s="54">
        <f>Planilha!D33</f>
        <v>70365.421950000004</v>
      </c>
    </row>
    <row r="42" spans="1:6" ht="14.25" customHeight="1" x14ac:dyDescent="0.2">
      <c r="A42" s="190" t="s">
        <v>1028</v>
      </c>
      <c r="B42" s="191"/>
      <c r="C42" s="191"/>
      <c r="D42" s="191"/>
      <c r="E42" s="125">
        <f>E38-E40</f>
        <v>65777.823729751864</v>
      </c>
    </row>
    <row r="43" spans="1:6" ht="14.25" customHeight="1" x14ac:dyDescent="0.2">
      <c r="A43" s="99"/>
      <c r="B43" s="59"/>
      <c r="C43" s="59"/>
      <c r="D43" s="59"/>
      <c r="E43" s="100"/>
    </row>
    <row r="44" spans="1:6" s="43" customFormat="1" ht="39.75" customHeight="1" x14ac:dyDescent="0.2">
      <c r="A44" s="45" t="s">
        <v>923</v>
      </c>
      <c r="B44" s="211" t="s">
        <v>924</v>
      </c>
      <c r="C44" s="212"/>
      <c r="D44" s="212"/>
      <c r="E44" s="213"/>
      <c r="F44" s="43" t="s">
        <v>1041</v>
      </c>
    </row>
    <row r="45" spans="1:6" ht="14.25" customHeight="1" x14ac:dyDescent="0.2">
      <c r="A45" s="101" t="s">
        <v>914</v>
      </c>
      <c r="B45" s="102"/>
      <c r="C45" s="102"/>
      <c r="D45" s="102"/>
      <c r="E45" s="103"/>
    </row>
    <row r="46" spans="1:6" ht="14.25" customHeight="1" x14ac:dyDescent="0.2">
      <c r="A46" s="188" t="s">
        <v>919</v>
      </c>
      <c r="B46" s="189"/>
      <c r="C46" s="189"/>
      <c r="D46" s="189"/>
      <c r="E46" s="98">
        <v>299.78994999999998</v>
      </c>
    </row>
    <row r="47" spans="1:6" ht="27.75" customHeight="1" x14ac:dyDescent="0.2">
      <c r="A47" s="243" t="s">
        <v>925</v>
      </c>
      <c r="B47" s="244"/>
      <c r="C47" s="244"/>
      <c r="D47" s="244"/>
      <c r="E47" s="104">
        <f>E36</f>
        <v>5004.68977</v>
      </c>
    </row>
    <row r="48" spans="1:6" ht="14.25" customHeight="1" x14ac:dyDescent="0.2">
      <c r="A48" s="188" t="s">
        <v>1020</v>
      </c>
      <c r="B48" s="189"/>
      <c r="C48" s="189"/>
      <c r="D48" s="189"/>
      <c r="E48" s="105">
        <f>E47+E46</f>
        <v>5304.4797200000003</v>
      </c>
    </row>
    <row r="49" spans="1:6" ht="14.25" customHeight="1" x14ac:dyDescent="0.2">
      <c r="A49" s="71"/>
      <c r="B49" s="85"/>
      <c r="C49" s="85"/>
      <c r="D49" s="85"/>
      <c r="E49" s="105"/>
    </row>
    <row r="50" spans="1:6" ht="14.25" customHeight="1" x14ac:dyDescent="0.2">
      <c r="A50" s="188" t="s">
        <v>1022</v>
      </c>
      <c r="B50" s="189"/>
      <c r="C50" s="189"/>
      <c r="D50" s="189"/>
      <c r="E50" s="105">
        <v>476.74</v>
      </c>
    </row>
    <row r="51" spans="1:6" ht="14.25" customHeight="1" x14ac:dyDescent="0.2">
      <c r="A51" s="188" t="s">
        <v>1021</v>
      </c>
      <c r="B51" s="189"/>
      <c r="C51" s="189"/>
      <c r="D51" s="189"/>
      <c r="E51" s="105">
        <f>E48</f>
        <v>5304.4797200000003</v>
      </c>
    </row>
    <row r="52" spans="1:6" ht="14.25" customHeight="1" x14ac:dyDescent="0.2">
      <c r="A52" s="190" t="s">
        <v>1027</v>
      </c>
      <c r="B52" s="191"/>
      <c r="C52" s="191"/>
      <c r="D52" s="191"/>
      <c r="E52" s="126">
        <f>E48-E50</f>
        <v>4827.7397200000005</v>
      </c>
    </row>
    <row r="53" spans="1:6" x14ac:dyDescent="0.2">
      <c r="A53" s="203"/>
      <c r="B53" s="204"/>
      <c r="C53" s="70"/>
      <c r="D53" s="70"/>
      <c r="E53" s="106"/>
    </row>
    <row r="54" spans="1:6" s="43" customFormat="1" ht="19.5" customHeight="1" x14ac:dyDescent="0.2">
      <c r="A54" s="78" t="s">
        <v>926</v>
      </c>
      <c r="B54" s="202" t="s">
        <v>74</v>
      </c>
      <c r="C54" s="202"/>
      <c r="D54" s="202"/>
      <c r="E54" s="202"/>
    </row>
    <row r="55" spans="1:6" s="43" customFormat="1" ht="33.75" customHeight="1" x14ac:dyDescent="0.2">
      <c r="A55" s="45" t="s">
        <v>927</v>
      </c>
      <c r="B55" s="211" t="s">
        <v>928</v>
      </c>
      <c r="C55" s="212"/>
      <c r="D55" s="212"/>
      <c r="E55" s="213"/>
      <c r="F55" s="43" t="s">
        <v>1041</v>
      </c>
    </row>
    <row r="56" spans="1:6" x14ac:dyDescent="0.2">
      <c r="A56" s="239" t="s">
        <v>929</v>
      </c>
      <c r="B56" s="240"/>
      <c r="C56" s="240"/>
      <c r="D56" s="240"/>
      <c r="E56" s="54">
        <f>28.17+3+15.5+3.85+26.02+8.73+25.36+7.68+27.34+3.02+6.07+6.07+10.67+34.15+17.58+5.53+23.73</f>
        <v>252.46999999999997</v>
      </c>
    </row>
    <row r="57" spans="1:6" x14ac:dyDescent="0.2">
      <c r="A57" s="241" t="s">
        <v>930</v>
      </c>
      <c r="B57" s="242"/>
      <c r="C57" s="242"/>
      <c r="D57" s="242"/>
      <c r="E57" s="54">
        <v>4.5</v>
      </c>
    </row>
    <row r="58" spans="1:6" x14ac:dyDescent="0.2">
      <c r="A58" s="223" t="s">
        <v>931</v>
      </c>
      <c r="B58" s="224"/>
      <c r="C58" s="224"/>
      <c r="D58" s="224"/>
      <c r="E58" s="107">
        <v>842</v>
      </c>
    </row>
    <row r="59" spans="1:6" x14ac:dyDescent="0.2">
      <c r="A59" s="195" t="s">
        <v>1031</v>
      </c>
      <c r="B59" s="195"/>
      <c r="C59" s="195"/>
      <c r="D59" s="188"/>
      <c r="E59" s="54">
        <f>E58*E57</f>
        <v>3789</v>
      </c>
    </row>
    <row r="60" spans="1:6" x14ac:dyDescent="0.2">
      <c r="A60" s="80"/>
      <c r="B60" s="90"/>
      <c r="C60" s="90"/>
      <c r="D60" s="90"/>
      <c r="E60" s="108"/>
    </row>
    <row r="61" spans="1:6" x14ac:dyDescent="0.2">
      <c r="A61" s="195" t="s">
        <v>1032</v>
      </c>
      <c r="B61" s="195"/>
      <c r="C61" s="195"/>
      <c r="D61" s="188"/>
      <c r="E61" s="54">
        <v>3385</v>
      </c>
    </row>
    <row r="62" spans="1:6" x14ac:dyDescent="0.2">
      <c r="A62" s="195" t="s">
        <v>932</v>
      </c>
      <c r="B62" s="195"/>
      <c r="C62" s="195"/>
      <c r="D62" s="188"/>
      <c r="E62" s="54">
        <v>3789</v>
      </c>
    </row>
    <row r="63" spans="1:6" x14ac:dyDescent="0.2">
      <c r="A63" s="197" t="s">
        <v>1033</v>
      </c>
      <c r="B63" s="197"/>
      <c r="C63" s="197"/>
      <c r="D63" s="190"/>
      <c r="E63" s="125">
        <f>E59-E61</f>
        <v>404</v>
      </c>
    </row>
    <row r="64" spans="1:6" x14ac:dyDescent="0.2">
      <c r="A64" s="34"/>
      <c r="E64" s="36"/>
    </row>
    <row r="65" spans="1:6" s="43" customFormat="1" ht="25.5" customHeight="1" x14ac:dyDescent="0.2">
      <c r="A65" s="45" t="s">
        <v>933</v>
      </c>
      <c r="B65" s="211" t="s">
        <v>81</v>
      </c>
      <c r="C65" s="212"/>
      <c r="D65" s="212"/>
      <c r="E65" s="213"/>
      <c r="F65" s="43" t="s">
        <v>1041</v>
      </c>
    </row>
    <row r="66" spans="1:6" x14ac:dyDescent="0.2">
      <c r="A66" s="239" t="s">
        <v>934</v>
      </c>
      <c r="B66" s="240"/>
      <c r="C66" s="240"/>
      <c r="D66" s="240"/>
      <c r="E66" s="54">
        <v>505.3</v>
      </c>
    </row>
    <row r="67" spans="1:6" x14ac:dyDescent="0.2">
      <c r="A67" s="188" t="s">
        <v>1023</v>
      </c>
      <c r="B67" s="189"/>
      <c r="C67" s="189"/>
      <c r="D67" s="189"/>
      <c r="E67" s="107">
        <f>E66</f>
        <v>505.3</v>
      </c>
    </row>
    <row r="68" spans="1:6" x14ac:dyDescent="0.2">
      <c r="A68" s="80"/>
      <c r="B68" s="90"/>
      <c r="C68" s="90"/>
      <c r="D68" s="90"/>
      <c r="E68" s="109"/>
    </row>
    <row r="69" spans="1:6" x14ac:dyDescent="0.2">
      <c r="A69" s="188" t="s">
        <v>1025</v>
      </c>
      <c r="B69" s="189"/>
      <c r="C69" s="189"/>
      <c r="D69" s="189"/>
      <c r="E69" s="54">
        <v>244.23</v>
      </c>
    </row>
    <row r="70" spans="1:6" x14ac:dyDescent="0.2">
      <c r="A70" s="188" t="s">
        <v>1024</v>
      </c>
      <c r="B70" s="189"/>
      <c r="C70" s="189"/>
      <c r="D70" s="189"/>
      <c r="E70" s="54">
        <v>505.3</v>
      </c>
    </row>
    <row r="71" spans="1:6" x14ac:dyDescent="0.2">
      <c r="A71" s="190" t="s">
        <v>1026</v>
      </c>
      <c r="B71" s="191"/>
      <c r="C71" s="191"/>
      <c r="D71" s="191"/>
      <c r="E71" s="125">
        <f>E67-E69</f>
        <v>261.07000000000005</v>
      </c>
    </row>
    <row r="72" spans="1:6" x14ac:dyDescent="0.2">
      <c r="A72" s="34"/>
      <c r="E72" s="36" t="s">
        <v>935</v>
      </c>
    </row>
    <row r="73" spans="1:6" s="43" customFormat="1" ht="19.5" customHeight="1" x14ac:dyDescent="0.2">
      <c r="A73" s="78" t="s">
        <v>936</v>
      </c>
      <c r="B73" s="202" t="s">
        <v>83</v>
      </c>
      <c r="C73" s="202"/>
      <c r="D73" s="202"/>
      <c r="E73" s="202"/>
    </row>
    <row r="74" spans="1:6" s="43" customFormat="1" ht="19.5" customHeight="1" x14ac:dyDescent="0.2">
      <c r="A74" s="110" t="s">
        <v>937</v>
      </c>
      <c r="B74" s="235" t="s">
        <v>85</v>
      </c>
      <c r="C74" s="235"/>
      <c r="D74" s="235"/>
      <c r="E74" s="235"/>
    </row>
    <row r="75" spans="1:6" s="43" customFormat="1" ht="39.75" customHeight="1" x14ac:dyDescent="0.2">
      <c r="A75" s="45" t="s">
        <v>1260</v>
      </c>
      <c r="B75" s="211" t="s">
        <v>87</v>
      </c>
      <c r="C75" s="212"/>
      <c r="D75" s="212"/>
      <c r="E75" s="213"/>
      <c r="F75" s="43" t="s">
        <v>1041</v>
      </c>
    </row>
    <row r="76" spans="1:6" s="50" customFormat="1" ht="14.25" customHeight="1" x14ac:dyDescent="0.2">
      <c r="A76" s="219" t="s">
        <v>821</v>
      </c>
      <c r="B76" s="220"/>
      <c r="C76" s="52" t="s">
        <v>938</v>
      </c>
      <c r="D76" s="52" t="s">
        <v>824</v>
      </c>
      <c r="E76" s="111" t="s">
        <v>1261</v>
      </c>
    </row>
    <row r="77" spans="1:6" ht="14.25" customHeight="1" x14ac:dyDescent="0.2">
      <c r="A77" s="221" t="s">
        <v>939</v>
      </c>
      <c r="B77" s="222"/>
      <c r="C77" s="53">
        <v>52</v>
      </c>
      <c r="D77" s="53">
        <v>12</v>
      </c>
      <c r="E77" s="54">
        <f>(C77*D77)+(624*0.1)</f>
        <v>686.4</v>
      </c>
    </row>
    <row r="78" spans="1:6" ht="15" customHeight="1" x14ac:dyDescent="0.2">
      <c r="A78" s="195" t="s">
        <v>1263</v>
      </c>
      <c r="B78" s="195"/>
      <c r="C78" s="195"/>
      <c r="D78" s="188"/>
      <c r="E78" s="54">
        <f>SUM(E77:E77)</f>
        <v>686.4</v>
      </c>
    </row>
    <row r="79" spans="1:6" ht="15" customHeight="1" x14ac:dyDescent="0.2">
      <c r="A79" s="80"/>
      <c r="B79" s="90"/>
      <c r="C79" s="90"/>
      <c r="D79" s="90"/>
      <c r="E79" s="108"/>
    </row>
    <row r="80" spans="1:6" ht="15" customHeight="1" x14ac:dyDescent="0.2">
      <c r="A80" s="195" t="s">
        <v>1264</v>
      </c>
      <c r="B80" s="195"/>
      <c r="C80" s="195"/>
      <c r="D80" s="188"/>
      <c r="E80" s="54">
        <f>Planilha!H41</f>
        <v>624</v>
      </c>
    </row>
    <row r="81" spans="1:6" ht="15" customHeight="1" x14ac:dyDescent="0.2">
      <c r="A81" s="195" t="s">
        <v>1262</v>
      </c>
      <c r="B81" s="195"/>
      <c r="C81" s="195"/>
      <c r="D81" s="188"/>
      <c r="E81" s="54">
        <f>Planilha!D41</f>
        <v>686.4</v>
      </c>
    </row>
    <row r="82" spans="1:6" ht="15" customHeight="1" x14ac:dyDescent="0.2">
      <c r="A82" s="197" t="s">
        <v>1265</v>
      </c>
      <c r="B82" s="197"/>
      <c r="C82" s="197"/>
      <c r="D82" s="190"/>
      <c r="E82" s="125">
        <f>E78-E80</f>
        <v>62.399999999999977</v>
      </c>
    </row>
    <row r="83" spans="1:6" x14ac:dyDescent="0.2">
      <c r="A83" s="34"/>
      <c r="E83" s="36"/>
    </row>
    <row r="84" spans="1:6" s="43" customFormat="1" ht="39.75" customHeight="1" x14ac:dyDescent="0.2">
      <c r="A84" s="45" t="s">
        <v>940</v>
      </c>
      <c r="B84" s="211" t="s">
        <v>89</v>
      </c>
      <c r="C84" s="212"/>
      <c r="D84" s="212"/>
      <c r="E84" s="213"/>
      <c r="F84" s="43" t="s">
        <v>1041</v>
      </c>
    </row>
    <row r="85" spans="1:6" s="50" customFormat="1" ht="14.25" customHeight="1" x14ac:dyDescent="0.2">
      <c r="A85" s="51" t="s">
        <v>821</v>
      </c>
      <c r="B85" s="52" t="s">
        <v>938</v>
      </c>
      <c r="C85" s="52" t="s">
        <v>824</v>
      </c>
      <c r="D85" s="52" t="s">
        <v>822</v>
      </c>
      <c r="E85" s="111" t="s">
        <v>941</v>
      </c>
    </row>
    <row r="86" spans="1:6" ht="14.25" customHeight="1" x14ac:dyDescent="0.2">
      <c r="A86" s="237" t="s">
        <v>939</v>
      </c>
      <c r="B86" s="53">
        <v>52</v>
      </c>
      <c r="C86" s="53">
        <v>12</v>
      </c>
      <c r="D86" s="53">
        <f>3.14*0.15*0.15</f>
        <v>7.0649999999999991E-2</v>
      </c>
      <c r="E86" s="111">
        <f>(B86*C86*D86)+4.409</f>
        <v>48.494599999999991</v>
      </c>
    </row>
    <row r="87" spans="1:6" ht="14.25" customHeight="1" x14ac:dyDescent="0.2">
      <c r="A87" s="238"/>
      <c r="B87" s="53">
        <v>70</v>
      </c>
      <c r="C87" s="53">
        <v>14</v>
      </c>
      <c r="D87" s="53">
        <f>3.14*0.2*0.2</f>
        <v>0.12560000000000002</v>
      </c>
      <c r="E87" s="111">
        <f>(B87*C87*D87)+12.309</f>
        <v>135.39700000000002</v>
      </c>
    </row>
    <row r="88" spans="1:6" ht="15" customHeight="1" x14ac:dyDescent="0.2">
      <c r="A88" s="195" t="s">
        <v>1185</v>
      </c>
      <c r="B88" s="195"/>
      <c r="C88" s="195"/>
      <c r="D88" s="188"/>
      <c r="E88" s="54">
        <f>SUM(E86:E87)</f>
        <v>183.89160000000001</v>
      </c>
    </row>
    <row r="89" spans="1:6" ht="15" customHeight="1" x14ac:dyDescent="0.2">
      <c r="A89" s="80"/>
      <c r="B89" s="90"/>
      <c r="C89" s="90"/>
      <c r="D89" s="90"/>
      <c r="E89" s="108"/>
    </row>
    <row r="90" spans="1:6" ht="15" customHeight="1" x14ac:dyDescent="0.2">
      <c r="A90" s="195" t="s">
        <v>1054</v>
      </c>
      <c r="B90" s="195"/>
      <c r="C90" s="195"/>
      <c r="D90" s="188"/>
      <c r="E90" s="54">
        <v>149.91</v>
      </c>
    </row>
    <row r="91" spans="1:6" ht="15" customHeight="1" x14ac:dyDescent="0.2">
      <c r="A91" s="195" t="s">
        <v>942</v>
      </c>
      <c r="B91" s="195"/>
      <c r="C91" s="195"/>
      <c r="D91" s="188"/>
      <c r="E91" s="54">
        <v>183.89</v>
      </c>
    </row>
    <row r="92" spans="1:6" ht="15" customHeight="1" x14ac:dyDescent="0.2">
      <c r="A92" s="197" t="s">
        <v>1055</v>
      </c>
      <c r="B92" s="197"/>
      <c r="C92" s="197"/>
      <c r="D92" s="190"/>
      <c r="E92" s="125">
        <f>E88-E90</f>
        <v>33.981600000000014</v>
      </c>
    </row>
    <row r="93" spans="1:6" x14ac:dyDescent="0.2">
      <c r="A93" s="34"/>
      <c r="E93" s="36"/>
    </row>
    <row r="94" spans="1:6" s="43" customFormat="1" ht="24" customHeight="1" x14ac:dyDescent="0.2">
      <c r="A94" s="45" t="s">
        <v>845</v>
      </c>
      <c r="B94" s="211" t="s">
        <v>710</v>
      </c>
      <c r="C94" s="212"/>
      <c r="D94" s="212"/>
      <c r="E94" s="213"/>
      <c r="F94" s="43" t="s">
        <v>1041</v>
      </c>
    </row>
    <row r="95" spans="1:6" s="50" customFormat="1" ht="14.25" customHeight="1" x14ac:dyDescent="0.2">
      <c r="A95" s="219" t="s">
        <v>821</v>
      </c>
      <c r="B95" s="220"/>
      <c r="C95" s="52"/>
      <c r="D95" s="52"/>
      <c r="E95" s="111" t="s">
        <v>943</v>
      </c>
    </row>
    <row r="96" spans="1:6" ht="14.25" customHeight="1" x14ac:dyDescent="0.2">
      <c r="A96" s="112" t="s">
        <v>944</v>
      </c>
      <c r="B96" s="113"/>
      <c r="C96" s="53"/>
      <c r="D96" s="53"/>
      <c r="E96" s="111">
        <f>E143+E174</f>
        <v>377.83275000000003</v>
      </c>
    </row>
    <row r="97" spans="1:6" ht="14.25" customHeight="1" x14ac:dyDescent="0.2">
      <c r="A97" s="112" t="s">
        <v>945</v>
      </c>
      <c r="B97" s="113"/>
      <c r="C97" s="53"/>
      <c r="D97" s="53"/>
      <c r="E97" s="111">
        <f>E226+E267+E126</f>
        <v>203.50454999999999</v>
      </c>
    </row>
    <row r="98" spans="1:6" ht="15" customHeight="1" x14ac:dyDescent="0.2">
      <c r="A98" s="195" t="s">
        <v>1034</v>
      </c>
      <c r="B98" s="195"/>
      <c r="C98" s="195"/>
      <c r="D98" s="188"/>
      <c r="E98" s="54">
        <f>E96-E97</f>
        <v>174.32820000000004</v>
      </c>
    </row>
    <row r="99" spans="1:6" ht="15" customHeight="1" x14ac:dyDescent="0.2">
      <c r="A99" s="80"/>
      <c r="B99" s="90"/>
      <c r="C99" s="90"/>
      <c r="D99" s="90"/>
      <c r="E99" s="108"/>
    </row>
    <row r="100" spans="1:6" ht="15" customHeight="1" x14ac:dyDescent="0.2">
      <c r="A100" s="195" t="s">
        <v>1073</v>
      </c>
      <c r="B100" s="195"/>
      <c r="C100" s="195"/>
      <c r="D100" s="188"/>
      <c r="E100" s="54">
        <v>0</v>
      </c>
    </row>
    <row r="101" spans="1:6" ht="15" customHeight="1" x14ac:dyDescent="0.2">
      <c r="A101" s="195" t="s">
        <v>946</v>
      </c>
      <c r="B101" s="195"/>
      <c r="C101" s="195"/>
      <c r="D101" s="188"/>
      <c r="E101" s="54">
        <v>227.83</v>
      </c>
    </row>
    <row r="102" spans="1:6" ht="15" customHeight="1" x14ac:dyDescent="0.2">
      <c r="A102" s="197" t="s">
        <v>947</v>
      </c>
      <c r="B102" s="197"/>
      <c r="C102" s="197"/>
      <c r="D102" s="190"/>
      <c r="E102" s="125">
        <f>E98-E100</f>
        <v>174.32820000000004</v>
      </c>
    </row>
    <row r="103" spans="1:6" x14ac:dyDescent="0.2">
      <c r="A103" s="34"/>
      <c r="E103" s="36"/>
    </row>
    <row r="104" spans="1:6" s="43" customFormat="1" ht="39.75" customHeight="1" x14ac:dyDescent="0.2">
      <c r="A104" s="45" t="s">
        <v>846</v>
      </c>
      <c r="B104" s="211" t="s">
        <v>948</v>
      </c>
      <c r="C104" s="212"/>
      <c r="D104" s="212"/>
      <c r="E104" s="213"/>
      <c r="F104" s="43" t="s">
        <v>1041</v>
      </c>
    </row>
    <row r="105" spans="1:6" s="50" customFormat="1" ht="14.25" customHeight="1" x14ac:dyDescent="0.2">
      <c r="A105" s="219" t="s">
        <v>821</v>
      </c>
      <c r="B105" s="220"/>
      <c r="C105" s="52" t="s">
        <v>938</v>
      </c>
      <c r="D105" s="52" t="s">
        <v>824</v>
      </c>
      <c r="E105" s="111" t="s">
        <v>949</v>
      </c>
    </row>
    <row r="106" spans="1:6" ht="14.25" customHeight="1" x14ac:dyDescent="0.2">
      <c r="A106" s="221" t="s">
        <v>939</v>
      </c>
      <c r="B106" s="222"/>
      <c r="C106" s="53">
        <v>70</v>
      </c>
      <c r="D106" s="53">
        <v>14</v>
      </c>
      <c r="E106" s="111">
        <f>C106*D106</f>
        <v>980</v>
      </c>
    </row>
    <row r="107" spans="1:6" ht="15" customHeight="1" x14ac:dyDescent="0.2">
      <c r="A107" s="195" t="s">
        <v>1035</v>
      </c>
      <c r="B107" s="195"/>
      <c r="C107" s="195"/>
      <c r="D107" s="188"/>
      <c r="E107" s="54">
        <f>E106</f>
        <v>980</v>
      </c>
    </row>
    <row r="108" spans="1:6" ht="15" customHeight="1" x14ac:dyDescent="0.2">
      <c r="A108" s="80"/>
      <c r="B108" s="90"/>
      <c r="C108" s="90"/>
      <c r="D108" s="90"/>
      <c r="E108" s="108"/>
    </row>
    <row r="109" spans="1:6" ht="15" customHeight="1" x14ac:dyDescent="0.2">
      <c r="A109" s="195" t="s">
        <v>1036</v>
      </c>
      <c r="B109" s="195"/>
      <c r="C109" s="195"/>
      <c r="D109" s="188"/>
      <c r="E109" s="54">
        <v>0</v>
      </c>
    </row>
    <row r="110" spans="1:6" ht="15" customHeight="1" x14ac:dyDescent="0.2">
      <c r="A110" s="195" t="s">
        <v>950</v>
      </c>
      <c r="B110" s="195"/>
      <c r="C110" s="195"/>
      <c r="D110" s="188"/>
      <c r="E110" s="54">
        <v>980</v>
      </c>
    </row>
    <row r="111" spans="1:6" ht="15" customHeight="1" x14ac:dyDescent="0.2">
      <c r="A111" s="197" t="s">
        <v>1037</v>
      </c>
      <c r="B111" s="197"/>
      <c r="C111" s="197"/>
      <c r="D111" s="190"/>
      <c r="E111" s="125">
        <f>E107</f>
        <v>980</v>
      </c>
    </row>
    <row r="112" spans="1:6" x14ac:dyDescent="0.2">
      <c r="A112" s="34"/>
      <c r="E112" s="36"/>
    </row>
    <row r="113" spans="1:6" s="43" customFormat="1" ht="39.75" customHeight="1" x14ac:dyDescent="0.2">
      <c r="A113" s="45" t="s">
        <v>848</v>
      </c>
      <c r="B113" s="211" t="s">
        <v>849</v>
      </c>
      <c r="C113" s="212"/>
      <c r="D113" s="212"/>
      <c r="E113" s="213"/>
      <c r="F113" s="43" t="s">
        <v>1041</v>
      </c>
    </row>
    <row r="114" spans="1:6" s="50" customFormat="1" ht="14.25" customHeight="1" x14ac:dyDescent="0.2">
      <c r="A114" s="219" t="s">
        <v>821</v>
      </c>
      <c r="B114" s="220"/>
      <c r="C114" s="220" t="s">
        <v>951</v>
      </c>
      <c r="D114" s="220"/>
      <c r="E114" s="111" t="s">
        <v>949</v>
      </c>
    </row>
    <row r="115" spans="1:6" ht="14.25" customHeight="1" x14ac:dyDescent="0.2">
      <c r="A115" s="221" t="s">
        <v>952</v>
      </c>
      <c r="B115" s="222"/>
      <c r="C115" s="236">
        <v>842</v>
      </c>
      <c r="D115" s="236"/>
      <c r="E115" s="111">
        <f>C115</f>
        <v>842</v>
      </c>
    </row>
    <row r="116" spans="1:6" ht="14.25" customHeight="1" x14ac:dyDescent="0.2">
      <c r="A116" s="221" t="s">
        <v>939</v>
      </c>
      <c r="B116" s="222"/>
      <c r="C116" s="236">
        <v>122</v>
      </c>
      <c r="D116" s="236"/>
      <c r="E116" s="111">
        <f>C116</f>
        <v>122</v>
      </c>
    </row>
    <row r="117" spans="1:6" ht="15" customHeight="1" x14ac:dyDescent="0.2">
      <c r="A117" s="195" t="s">
        <v>1038</v>
      </c>
      <c r="B117" s="195"/>
      <c r="C117" s="195"/>
      <c r="D117" s="188"/>
      <c r="E117" s="54">
        <f>SUM(E115:E116)</f>
        <v>964</v>
      </c>
    </row>
    <row r="118" spans="1:6" ht="15" customHeight="1" x14ac:dyDescent="0.2">
      <c r="A118" s="80"/>
      <c r="B118" s="90"/>
      <c r="C118" s="90"/>
      <c r="D118" s="90"/>
      <c r="E118" s="108"/>
    </row>
    <row r="119" spans="1:6" ht="15" customHeight="1" x14ac:dyDescent="0.2">
      <c r="A119" s="195" t="s">
        <v>1039</v>
      </c>
      <c r="B119" s="195"/>
      <c r="C119" s="195"/>
      <c r="D119" s="188"/>
      <c r="E119" s="54">
        <v>0</v>
      </c>
    </row>
    <row r="120" spans="1:6" ht="15" customHeight="1" x14ac:dyDescent="0.2">
      <c r="A120" s="195" t="s">
        <v>953</v>
      </c>
      <c r="B120" s="195"/>
      <c r="C120" s="195"/>
      <c r="D120" s="188"/>
      <c r="E120" s="54">
        <v>964</v>
      </c>
    </row>
    <row r="121" spans="1:6" ht="15" customHeight="1" x14ac:dyDescent="0.2">
      <c r="A121" s="197" t="s">
        <v>1040</v>
      </c>
      <c r="B121" s="197"/>
      <c r="C121" s="197"/>
      <c r="D121" s="190"/>
      <c r="E121" s="125">
        <v>964</v>
      </c>
    </row>
    <row r="122" spans="1:6" x14ac:dyDescent="0.2">
      <c r="A122" s="34"/>
      <c r="E122" s="36"/>
    </row>
    <row r="123" spans="1:6" s="43" customFormat="1" ht="33" customHeight="1" x14ac:dyDescent="0.2">
      <c r="A123" s="45" t="s">
        <v>850</v>
      </c>
      <c r="B123" s="211" t="s">
        <v>851</v>
      </c>
      <c r="C123" s="212"/>
      <c r="D123" s="212"/>
      <c r="E123" s="213"/>
      <c r="F123" s="43" t="s">
        <v>1041</v>
      </c>
    </row>
    <row r="124" spans="1:6" s="50" customFormat="1" ht="14.25" customHeight="1" x14ac:dyDescent="0.2">
      <c r="A124" s="51" t="s">
        <v>821</v>
      </c>
      <c r="B124" s="52" t="s">
        <v>824</v>
      </c>
      <c r="C124" s="52" t="s">
        <v>825</v>
      </c>
      <c r="D124" s="52" t="s">
        <v>823</v>
      </c>
      <c r="E124" s="111" t="s">
        <v>954</v>
      </c>
    </row>
    <row r="125" spans="1:6" s="50" customFormat="1" ht="14.25" customHeight="1" x14ac:dyDescent="0.2">
      <c r="A125" s="41" t="s">
        <v>1045</v>
      </c>
      <c r="B125" s="55">
        <v>125</v>
      </c>
      <c r="C125" s="70">
        <v>0.4</v>
      </c>
      <c r="D125" s="70">
        <v>0.4</v>
      </c>
      <c r="E125" s="111">
        <f>B125*C125*D125</f>
        <v>20</v>
      </c>
    </row>
    <row r="126" spans="1:6" ht="14.25" customHeight="1" x14ac:dyDescent="0.2">
      <c r="A126" s="195" t="s">
        <v>1042</v>
      </c>
      <c r="B126" s="195"/>
      <c r="C126" s="195"/>
      <c r="D126" s="188"/>
      <c r="E126" s="54">
        <f>SUM(E125:E125)</f>
        <v>20</v>
      </c>
    </row>
    <row r="127" spans="1:6" ht="14.25" customHeight="1" x14ac:dyDescent="0.2">
      <c r="A127" s="80"/>
      <c r="B127" s="90"/>
      <c r="C127" s="90"/>
      <c r="D127" s="90"/>
      <c r="E127" s="108"/>
    </row>
    <row r="128" spans="1:6" ht="14.25" customHeight="1" x14ac:dyDescent="0.2">
      <c r="A128" s="195" t="s">
        <v>1043</v>
      </c>
      <c r="B128" s="195"/>
      <c r="C128" s="195"/>
      <c r="D128" s="188"/>
      <c r="E128" s="54">
        <v>0</v>
      </c>
    </row>
    <row r="129" spans="1:6" ht="15" customHeight="1" x14ac:dyDescent="0.2">
      <c r="A129" s="233" t="s">
        <v>955</v>
      </c>
      <c r="B129" s="233"/>
      <c r="C129" s="233"/>
      <c r="D129" s="234"/>
      <c r="E129" s="54">
        <v>29.92</v>
      </c>
    </row>
    <row r="130" spans="1:6" ht="15" customHeight="1" x14ac:dyDescent="0.2">
      <c r="A130" s="197" t="s">
        <v>1044</v>
      </c>
      <c r="B130" s="197"/>
      <c r="C130" s="197"/>
      <c r="D130" s="190"/>
      <c r="E130" s="125">
        <f>E126</f>
        <v>20</v>
      </c>
    </row>
    <row r="131" spans="1:6" x14ac:dyDescent="0.2">
      <c r="A131" s="34"/>
      <c r="E131" s="36"/>
    </row>
    <row r="132" spans="1:6" s="43" customFormat="1" ht="19.5" customHeight="1" x14ac:dyDescent="0.2">
      <c r="A132" s="110" t="s">
        <v>956</v>
      </c>
      <c r="B132" s="235" t="s">
        <v>91</v>
      </c>
      <c r="C132" s="235"/>
      <c r="D132" s="235"/>
      <c r="E132" s="235"/>
    </row>
    <row r="133" spans="1:6" s="43" customFormat="1" ht="39.75" customHeight="1" x14ac:dyDescent="0.2">
      <c r="A133" s="45" t="s">
        <v>957</v>
      </c>
      <c r="B133" s="211" t="s">
        <v>95</v>
      </c>
      <c r="C133" s="212"/>
      <c r="D133" s="212"/>
      <c r="E133" s="213"/>
      <c r="F133" s="43" t="s">
        <v>1041</v>
      </c>
    </row>
    <row r="134" spans="1:6" s="50" customFormat="1" ht="14.25" customHeight="1" x14ac:dyDescent="0.2">
      <c r="A134" s="51" t="s">
        <v>821</v>
      </c>
      <c r="B134" s="115" t="s">
        <v>951</v>
      </c>
      <c r="C134" s="52" t="s">
        <v>822</v>
      </c>
      <c r="D134" s="52" t="s">
        <v>823</v>
      </c>
      <c r="E134" s="111" t="s">
        <v>943</v>
      </c>
    </row>
    <row r="135" spans="1:6" ht="14.25" customHeight="1" x14ac:dyDescent="0.2">
      <c r="A135" s="112" t="s">
        <v>958</v>
      </c>
      <c r="B135" s="113">
        <v>12</v>
      </c>
      <c r="C135" s="53">
        <f>1.65*0.9</f>
        <v>1.4849999999999999</v>
      </c>
      <c r="D135" s="53">
        <v>0.75</v>
      </c>
      <c r="E135" s="111">
        <f t="shared" ref="E135:E142" si="0">B135*C135*D135</f>
        <v>13.365</v>
      </c>
    </row>
    <row r="136" spans="1:6" ht="14.25" customHeight="1" x14ac:dyDescent="0.2">
      <c r="A136" s="112" t="s">
        <v>959</v>
      </c>
      <c r="B136" s="113">
        <v>7</v>
      </c>
      <c r="C136" s="53">
        <f>2*1</f>
        <v>2</v>
      </c>
      <c r="D136" s="53">
        <v>0.75</v>
      </c>
      <c r="E136" s="111">
        <f t="shared" si="0"/>
        <v>10.5</v>
      </c>
    </row>
    <row r="137" spans="1:6" ht="14.25" customHeight="1" x14ac:dyDescent="0.2">
      <c r="A137" s="112" t="s">
        <v>960</v>
      </c>
      <c r="B137" s="113">
        <v>28</v>
      </c>
      <c r="C137" s="53">
        <f>0.9*0.9</f>
        <v>0.81</v>
      </c>
      <c r="D137" s="53">
        <v>0.75</v>
      </c>
      <c r="E137" s="111">
        <f t="shared" si="0"/>
        <v>17.009999999999998</v>
      </c>
    </row>
    <row r="138" spans="1:6" ht="14.25" customHeight="1" x14ac:dyDescent="0.2">
      <c r="A138" s="112" t="s">
        <v>961</v>
      </c>
      <c r="B138" s="113">
        <v>5</v>
      </c>
      <c r="C138" s="53">
        <f>2.11+(0.4*2.11)</f>
        <v>2.9539999999999997</v>
      </c>
      <c r="D138" s="53">
        <v>0.85</v>
      </c>
      <c r="E138" s="111">
        <f t="shared" si="0"/>
        <v>12.554499999999999</v>
      </c>
    </row>
    <row r="139" spans="1:6" ht="14.25" customHeight="1" x14ac:dyDescent="0.2">
      <c r="A139" s="112" t="s">
        <v>962</v>
      </c>
      <c r="B139" s="113">
        <v>5</v>
      </c>
      <c r="C139" s="53">
        <f>2*2</f>
        <v>4</v>
      </c>
      <c r="D139" s="53">
        <v>1.05</v>
      </c>
      <c r="E139" s="111">
        <f t="shared" si="0"/>
        <v>21</v>
      </c>
    </row>
    <row r="140" spans="1:6" ht="14.25" customHeight="1" x14ac:dyDescent="0.2">
      <c r="A140" s="112" t="s">
        <v>963</v>
      </c>
      <c r="B140" s="113">
        <v>3</v>
      </c>
      <c r="C140" s="53">
        <f>2*2.73</f>
        <v>5.46</v>
      </c>
      <c r="D140" s="53">
        <v>1.25</v>
      </c>
      <c r="E140" s="111">
        <f t="shared" si="0"/>
        <v>20.474999999999998</v>
      </c>
    </row>
    <row r="141" spans="1:6" ht="14.25" customHeight="1" x14ac:dyDescent="0.2">
      <c r="A141" s="112" t="s">
        <v>964</v>
      </c>
      <c r="B141" s="113">
        <v>1</v>
      </c>
      <c r="C141" s="116">
        <f>3*2</f>
        <v>6</v>
      </c>
      <c r="D141" s="117">
        <v>1.3</v>
      </c>
      <c r="E141" s="118">
        <f t="shared" si="0"/>
        <v>7.8000000000000007</v>
      </c>
    </row>
    <row r="142" spans="1:6" ht="14.25" customHeight="1" x14ac:dyDescent="0.2">
      <c r="A142" s="119" t="s">
        <v>965</v>
      </c>
      <c r="B142" s="120">
        <v>4</v>
      </c>
      <c r="C142" s="121">
        <f>2.5*2.5</f>
        <v>6.25</v>
      </c>
      <c r="D142" s="53">
        <v>2.1</v>
      </c>
      <c r="E142" s="111">
        <f t="shared" si="0"/>
        <v>52.5</v>
      </c>
    </row>
    <row r="143" spans="1:6" ht="15" customHeight="1" x14ac:dyDescent="0.2">
      <c r="A143" s="195" t="s">
        <v>1046</v>
      </c>
      <c r="B143" s="195"/>
      <c r="C143" s="195"/>
      <c r="D143" s="188"/>
      <c r="E143" s="54">
        <f>SUM(E135:E142)</f>
        <v>155.2045</v>
      </c>
    </row>
    <row r="144" spans="1:6" ht="15" customHeight="1" x14ac:dyDescent="0.2">
      <c r="A144" s="233"/>
      <c r="B144" s="233"/>
      <c r="C144" s="233"/>
      <c r="D144" s="234"/>
      <c r="E144" s="108"/>
    </row>
    <row r="145" spans="1:6" ht="15" customHeight="1" x14ac:dyDescent="0.2">
      <c r="A145" s="195" t="s">
        <v>1047</v>
      </c>
      <c r="B145" s="195"/>
      <c r="C145" s="195"/>
      <c r="D145" s="188"/>
      <c r="E145" s="54">
        <v>52.5</v>
      </c>
    </row>
    <row r="146" spans="1:6" ht="15" customHeight="1" x14ac:dyDescent="0.2">
      <c r="A146" s="195" t="s">
        <v>966</v>
      </c>
      <c r="B146" s="195"/>
      <c r="C146" s="195"/>
      <c r="D146" s="188"/>
      <c r="E146" s="54">
        <v>162.88</v>
      </c>
    </row>
    <row r="147" spans="1:6" ht="15" customHeight="1" x14ac:dyDescent="0.2">
      <c r="A147" s="197" t="s">
        <v>1052</v>
      </c>
      <c r="B147" s="197"/>
      <c r="C147" s="197"/>
      <c r="D147" s="190"/>
      <c r="E147" s="125">
        <f>E143-E145</f>
        <v>102.7045</v>
      </c>
    </row>
    <row r="148" spans="1:6" x14ac:dyDescent="0.2">
      <c r="A148" s="34"/>
      <c r="E148" s="36"/>
    </row>
    <row r="149" spans="1:6" s="43" customFormat="1" ht="39.75" customHeight="1" x14ac:dyDescent="0.2">
      <c r="A149" s="45" t="s">
        <v>967</v>
      </c>
      <c r="B149" s="211" t="s">
        <v>97</v>
      </c>
      <c r="C149" s="212"/>
      <c r="D149" s="212"/>
      <c r="E149" s="213"/>
      <c r="F149" s="43" t="s">
        <v>1041</v>
      </c>
    </row>
    <row r="150" spans="1:6" s="50" customFormat="1" ht="14.25" customHeight="1" x14ac:dyDescent="0.2">
      <c r="A150" s="219" t="s">
        <v>821</v>
      </c>
      <c r="B150" s="220"/>
      <c r="C150" s="220"/>
      <c r="D150" s="220"/>
      <c r="E150" s="111" t="s">
        <v>968</v>
      </c>
    </row>
    <row r="151" spans="1:6" ht="14.25" customHeight="1" x14ac:dyDescent="0.2">
      <c r="A151" s="112" t="s">
        <v>969</v>
      </c>
      <c r="B151" s="113"/>
      <c r="C151" s="53"/>
      <c r="D151" s="53"/>
      <c r="E151" s="111">
        <v>215.34</v>
      </c>
    </row>
    <row r="152" spans="1:6" x14ac:dyDescent="0.2">
      <c r="A152" s="227" t="s">
        <v>970</v>
      </c>
      <c r="B152" s="228"/>
      <c r="C152" s="228"/>
      <c r="D152" s="228"/>
      <c r="E152" s="111">
        <v>180</v>
      </c>
    </row>
    <row r="153" spans="1:6" x14ac:dyDescent="0.2">
      <c r="A153" s="227" t="s">
        <v>971</v>
      </c>
      <c r="B153" s="228"/>
      <c r="C153" s="228"/>
      <c r="D153" s="228"/>
      <c r="E153" s="111">
        <v>587.6</v>
      </c>
    </row>
    <row r="154" spans="1:6" ht="15" customHeight="1" x14ac:dyDescent="0.2">
      <c r="A154" s="195" t="s">
        <v>1048</v>
      </c>
      <c r="B154" s="195"/>
      <c r="C154" s="195"/>
      <c r="D154" s="188"/>
      <c r="E154" s="54">
        <f>SUM(E151:E153)</f>
        <v>982.94</v>
      </c>
    </row>
    <row r="155" spans="1:6" ht="15" customHeight="1" x14ac:dyDescent="0.2">
      <c r="A155" s="80"/>
      <c r="B155" s="90"/>
      <c r="C155" s="90"/>
      <c r="D155" s="90"/>
      <c r="E155" s="108"/>
    </row>
    <row r="156" spans="1:6" ht="15" customHeight="1" x14ac:dyDescent="0.2">
      <c r="A156" s="195" t="s">
        <v>1049</v>
      </c>
      <c r="B156" s="195"/>
      <c r="C156" s="195"/>
      <c r="D156" s="188"/>
      <c r="E156" s="54">
        <v>136.63999999999999</v>
      </c>
    </row>
    <row r="157" spans="1:6" ht="15" customHeight="1" x14ac:dyDescent="0.2">
      <c r="A157" s="195" t="s">
        <v>972</v>
      </c>
      <c r="B157" s="195"/>
      <c r="C157" s="195"/>
      <c r="D157" s="188"/>
      <c r="E157" s="54">
        <v>1000.46</v>
      </c>
    </row>
    <row r="158" spans="1:6" ht="15" customHeight="1" x14ac:dyDescent="0.2">
      <c r="A158" s="197" t="s">
        <v>1053</v>
      </c>
      <c r="B158" s="197"/>
      <c r="C158" s="197"/>
      <c r="D158" s="190"/>
      <c r="E158" s="125">
        <f>E154-E156</f>
        <v>846.30000000000007</v>
      </c>
    </row>
    <row r="159" spans="1:6" x14ac:dyDescent="0.2">
      <c r="A159" s="34"/>
      <c r="E159" s="36"/>
    </row>
    <row r="160" spans="1:6" s="43" customFormat="1" ht="32.25" customHeight="1" x14ac:dyDescent="0.2">
      <c r="A160" s="45" t="s">
        <v>973</v>
      </c>
      <c r="B160" s="211" t="s">
        <v>99</v>
      </c>
      <c r="C160" s="212"/>
      <c r="D160" s="212"/>
      <c r="E160" s="213"/>
      <c r="F160" s="43" t="s">
        <v>1041</v>
      </c>
    </row>
    <row r="161" spans="1:5" s="50" customFormat="1" ht="14.25" customHeight="1" x14ac:dyDescent="0.2">
      <c r="A161" s="51" t="s">
        <v>821</v>
      </c>
      <c r="B161" s="52" t="s">
        <v>824</v>
      </c>
      <c r="C161" s="52" t="s">
        <v>825</v>
      </c>
      <c r="D161" s="52" t="s">
        <v>823</v>
      </c>
      <c r="E161" s="111" t="s">
        <v>943</v>
      </c>
    </row>
    <row r="162" spans="1:5" ht="91.5" customHeight="1" x14ac:dyDescent="0.2">
      <c r="A162" s="122" t="s">
        <v>974</v>
      </c>
      <c r="B162" s="120">
        <f>4.19+7.86+20.34+11.73+11.73+21.31+2.67+2.69+5.84+5.05+4.6+5.93+5.85+4.86+3.3+7+1.8+16.35+2.69+2.79+7.32+4.38+15.96</f>
        <v>176.23999999999998</v>
      </c>
      <c r="C162" s="121">
        <f>0.3+0.4</f>
        <v>0.7</v>
      </c>
      <c r="D162" s="121">
        <v>0.45</v>
      </c>
      <c r="E162" s="111">
        <f t="shared" ref="E162:E173" si="1">B162*C162*D162</f>
        <v>55.515599999999992</v>
      </c>
    </row>
    <row r="163" spans="1:5" ht="38.25" customHeight="1" x14ac:dyDescent="0.2">
      <c r="A163" s="122" t="s">
        <v>975</v>
      </c>
      <c r="B163" s="120">
        <f>6.19+5.06+7.39+14.88+14.88+14.88+14.88</f>
        <v>78.160000000000011</v>
      </c>
      <c r="C163" s="121">
        <f>0.45+0.4</f>
        <v>0.85000000000000009</v>
      </c>
      <c r="D163" s="121">
        <v>0.45</v>
      </c>
      <c r="E163" s="111">
        <f t="shared" si="1"/>
        <v>29.896200000000011</v>
      </c>
    </row>
    <row r="164" spans="1:5" ht="38.25" customHeight="1" x14ac:dyDescent="0.2">
      <c r="A164" s="122" t="s">
        <v>976</v>
      </c>
      <c r="B164" s="120">
        <f>11.73+3.9+4.43+4.49+4.36+4.02+6.1</f>
        <v>39.030000000000008</v>
      </c>
      <c r="C164" s="121">
        <f>0.3+0.2</f>
        <v>0.5</v>
      </c>
      <c r="D164" s="121">
        <v>0.55000000000000004</v>
      </c>
      <c r="E164" s="111">
        <f t="shared" si="1"/>
        <v>10.733250000000004</v>
      </c>
    </row>
    <row r="165" spans="1:5" ht="31.5" customHeight="1" x14ac:dyDescent="0.2">
      <c r="A165" s="122" t="s">
        <v>977</v>
      </c>
      <c r="B165" s="120">
        <f>2.27+4.93+0.71+3.3+1.3</f>
        <v>12.51</v>
      </c>
      <c r="C165" s="121">
        <f>0.2+0.2</f>
        <v>0.4</v>
      </c>
      <c r="D165" s="121">
        <v>0.45</v>
      </c>
      <c r="E165" s="111">
        <f t="shared" si="1"/>
        <v>2.2518000000000002</v>
      </c>
    </row>
    <row r="166" spans="1:5" ht="28.5" customHeight="1" x14ac:dyDescent="0.2">
      <c r="A166" s="122" t="s">
        <v>978</v>
      </c>
      <c r="B166" s="120">
        <v>32.4</v>
      </c>
      <c r="C166" s="121">
        <f>0.45+0.4</f>
        <v>0.85000000000000009</v>
      </c>
      <c r="D166" s="121">
        <v>0.75</v>
      </c>
      <c r="E166" s="111">
        <f t="shared" si="1"/>
        <v>20.655000000000001</v>
      </c>
    </row>
    <row r="167" spans="1:5" ht="30" customHeight="1" x14ac:dyDescent="0.2">
      <c r="A167" s="122" t="s">
        <v>979</v>
      </c>
      <c r="B167" s="120">
        <v>32.4</v>
      </c>
      <c r="C167" s="121">
        <f>0.4+0.4</f>
        <v>0.8</v>
      </c>
      <c r="D167" s="121">
        <v>0.45</v>
      </c>
      <c r="E167" s="111">
        <f t="shared" si="1"/>
        <v>11.664000000000001</v>
      </c>
    </row>
    <row r="168" spans="1:5" ht="30" customHeight="1" x14ac:dyDescent="0.2">
      <c r="A168" s="122" t="s">
        <v>980</v>
      </c>
      <c r="B168" s="113">
        <f>4.65+5.81</f>
        <v>10.46</v>
      </c>
      <c r="C168" s="121">
        <f>0.45+0.4</f>
        <v>0.85000000000000009</v>
      </c>
      <c r="D168" s="121">
        <v>0.55000000000000004</v>
      </c>
      <c r="E168" s="111">
        <f t="shared" si="1"/>
        <v>4.8900500000000013</v>
      </c>
    </row>
    <row r="169" spans="1:5" ht="27.75" customHeight="1" x14ac:dyDescent="0.2">
      <c r="A169" s="122" t="s">
        <v>981</v>
      </c>
      <c r="B169" s="113">
        <v>3.77</v>
      </c>
      <c r="C169" s="121">
        <f>0.2+0.4</f>
        <v>0.60000000000000009</v>
      </c>
      <c r="D169" s="121">
        <v>0.55000000000000004</v>
      </c>
      <c r="E169" s="111">
        <f t="shared" si="1"/>
        <v>1.2441000000000004</v>
      </c>
    </row>
    <row r="170" spans="1:5" ht="27.75" customHeight="1" x14ac:dyDescent="0.2">
      <c r="A170" s="122" t="s">
        <v>982</v>
      </c>
      <c r="B170" s="113">
        <f>1.16</f>
        <v>1.1599999999999999</v>
      </c>
      <c r="C170" s="121">
        <f>0.3+0.4</f>
        <v>0.7</v>
      </c>
      <c r="D170" s="121">
        <v>0.65</v>
      </c>
      <c r="E170" s="111">
        <f t="shared" si="1"/>
        <v>0.52779999999999994</v>
      </c>
    </row>
    <row r="171" spans="1:5" ht="30" customHeight="1" x14ac:dyDescent="0.2">
      <c r="A171" s="122" t="s">
        <v>983</v>
      </c>
      <c r="B171" s="113">
        <f>9.34+9.34+9.34+9.34</f>
        <v>37.36</v>
      </c>
      <c r="C171" s="121">
        <f>0.4+0.4</f>
        <v>0.8</v>
      </c>
      <c r="D171" s="121">
        <v>0.75</v>
      </c>
      <c r="E171" s="111">
        <f t="shared" si="1"/>
        <v>22.416</v>
      </c>
    </row>
    <row r="172" spans="1:5" ht="30" customHeight="1" x14ac:dyDescent="0.2">
      <c r="A172" s="122" t="s">
        <v>984</v>
      </c>
      <c r="B172" s="113">
        <f>8.18+6</f>
        <v>14.18</v>
      </c>
      <c r="C172" s="121">
        <f>0.45+0.4</f>
        <v>0.85000000000000009</v>
      </c>
      <c r="D172" s="121">
        <v>0.65</v>
      </c>
      <c r="E172" s="111">
        <f t="shared" si="1"/>
        <v>7.8344500000000012</v>
      </c>
    </row>
    <row r="173" spans="1:5" ht="43.5" customHeight="1" x14ac:dyDescent="0.2">
      <c r="A173" s="123" t="s">
        <v>985</v>
      </c>
      <c r="B173" s="114">
        <f>SUM(B125:B125)</f>
        <v>125</v>
      </c>
      <c r="C173" s="121">
        <v>0.4</v>
      </c>
      <c r="D173" s="121">
        <v>1.1000000000000001</v>
      </c>
      <c r="E173" s="111">
        <f t="shared" si="1"/>
        <v>55.000000000000007</v>
      </c>
    </row>
    <row r="174" spans="1:5" ht="15" customHeight="1" x14ac:dyDescent="0.2">
      <c r="A174" s="195" t="s">
        <v>1050</v>
      </c>
      <c r="B174" s="195"/>
      <c r="C174" s="195"/>
      <c r="D174" s="188"/>
      <c r="E174" s="54">
        <f>SUM(E162:E173)</f>
        <v>222.62825000000001</v>
      </c>
    </row>
    <row r="175" spans="1:5" ht="15" customHeight="1" x14ac:dyDescent="0.2">
      <c r="A175" s="80"/>
      <c r="B175" s="90"/>
      <c r="C175" s="90"/>
      <c r="D175" s="90"/>
      <c r="E175" s="108"/>
    </row>
    <row r="176" spans="1:5" ht="15" customHeight="1" x14ac:dyDescent="0.2">
      <c r="A176" s="195" t="s">
        <v>1051</v>
      </c>
      <c r="B176" s="195"/>
      <c r="C176" s="195"/>
      <c r="D176" s="188"/>
      <c r="E176" s="54">
        <v>11.14</v>
      </c>
    </row>
    <row r="177" spans="1:6" ht="15" customHeight="1" x14ac:dyDescent="0.2">
      <c r="A177" s="195" t="s">
        <v>966</v>
      </c>
      <c r="B177" s="195"/>
      <c r="C177" s="195"/>
      <c r="D177" s="188"/>
      <c r="E177" s="54">
        <v>281.70999999999998</v>
      </c>
    </row>
    <row r="178" spans="1:6" ht="15" customHeight="1" x14ac:dyDescent="0.2">
      <c r="A178" s="197" t="s">
        <v>1052</v>
      </c>
      <c r="B178" s="197"/>
      <c r="C178" s="197"/>
      <c r="D178" s="190"/>
      <c r="E178" s="125">
        <f>E174-E176</f>
        <v>211.48824999999999</v>
      </c>
    </row>
    <row r="179" spans="1:6" x14ac:dyDescent="0.2">
      <c r="A179" s="34"/>
      <c r="E179" s="36"/>
    </row>
    <row r="180" spans="1:6" s="43" customFormat="1" ht="39.75" customHeight="1" x14ac:dyDescent="0.2">
      <c r="A180" s="45" t="s">
        <v>986</v>
      </c>
      <c r="B180" s="211" t="s">
        <v>103</v>
      </c>
      <c r="C180" s="212"/>
      <c r="D180" s="212"/>
      <c r="E180" s="213"/>
      <c r="F180" s="43" t="s">
        <v>1041</v>
      </c>
    </row>
    <row r="181" spans="1:6" s="50" customFormat="1" ht="14.25" customHeight="1" x14ac:dyDescent="0.2">
      <c r="A181" s="231" t="s">
        <v>821</v>
      </c>
      <c r="B181" s="232"/>
      <c r="C181" s="31"/>
      <c r="D181" s="31"/>
      <c r="E181" s="111" t="s">
        <v>987</v>
      </c>
    </row>
    <row r="182" spans="1:6" ht="14.25" customHeight="1" x14ac:dyDescent="0.2">
      <c r="A182" s="227" t="s">
        <v>988</v>
      </c>
      <c r="B182" s="228"/>
      <c r="C182" s="228"/>
      <c r="D182" s="228"/>
      <c r="E182" s="111">
        <v>1008.8</v>
      </c>
    </row>
    <row r="183" spans="1:6" ht="14.25" customHeight="1" x14ac:dyDescent="0.2">
      <c r="A183" s="221" t="s">
        <v>989</v>
      </c>
      <c r="B183" s="222"/>
      <c r="C183" s="53"/>
      <c r="D183" s="53"/>
      <c r="E183" s="111">
        <f>97+15+20+13.2</f>
        <v>145.19999999999999</v>
      </c>
    </row>
    <row r="184" spans="1:6" ht="14.25" customHeight="1" x14ac:dyDescent="0.2">
      <c r="A184" s="227" t="s">
        <v>990</v>
      </c>
      <c r="B184" s="228"/>
      <c r="C184" s="72"/>
      <c r="E184" s="111">
        <f>46.3+4.36</f>
        <v>50.66</v>
      </c>
    </row>
    <row r="185" spans="1:6" ht="15" customHeight="1" x14ac:dyDescent="0.2">
      <c r="A185" s="195" t="s">
        <v>1056</v>
      </c>
      <c r="B185" s="195"/>
      <c r="C185" s="195"/>
      <c r="D185" s="188"/>
      <c r="E185" s="54">
        <f>SUM(E182:E184)</f>
        <v>1204.6600000000001</v>
      </c>
    </row>
    <row r="186" spans="1:6" ht="15" customHeight="1" x14ac:dyDescent="0.2">
      <c r="A186" s="80"/>
      <c r="B186" s="90"/>
      <c r="C186" s="90"/>
      <c r="D186" s="90"/>
      <c r="E186" s="108"/>
    </row>
    <row r="187" spans="1:6" ht="15" customHeight="1" x14ac:dyDescent="0.2">
      <c r="A187" s="195" t="s">
        <v>1057</v>
      </c>
      <c r="B187" s="195"/>
      <c r="C187" s="195"/>
      <c r="D187" s="188"/>
      <c r="E187" s="54">
        <v>447.1</v>
      </c>
    </row>
    <row r="188" spans="1:6" ht="15" customHeight="1" x14ac:dyDescent="0.2">
      <c r="A188" s="195" t="s">
        <v>991</v>
      </c>
      <c r="B188" s="195"/>
      <c r="C188" s="195"/>
      <c r="D188" s="188"/>
      <c r="E188" s="54">
        <v>1204.6600000000001</v>
      </c>
    </row>
    <row r="189" spans="1:6" ht="15" customHeight="1" x14ac:dyDescent="0.2">
      <c r="A189" s="197" t="s">
        <v>1058</v>
      </c>
      <c r="B189" s="197"/>
      <c r="C189" s="197"/>
      <c r="D189" s="190"/>
      <c r="E189" s="125">
        <f>E185-E187</f>
        <v>757.56000000000006</v>
      </c>
    </row>
    <row r="190" spans="1:6" x14ac:dyDescent="0.2">
      <c r="A190" s="34"/>
      <c r="E190" s="36"/>
    </row>
    <row r="191" spans="1:6" s="43" customFormat="1" ht="39.75" customHeight="1" x14ac:dyDescent="0.2">
      <c r="A191" s="45" t="s">
        <v>998</v>
      </c>
      <c r="B191" s="211" t="s">
        <v>109</v>
      </c>
      <c r="C191" s="212"/>
      <c r="D191" s="212"/>
      <c r="E191" s="213"/>
      <c r="F191" s="43" t="s">
        <v>1070</v>
      </c>
    </row>
    <row r="192" spans="1:6" s="50" customFormat="1" ht="14.25" customHeight="1" x14ac:dyDescent="0.2">
      <c r="A192" s="219" t="s">
        <v>821</v>
      </c>
      <c r="B192" s="220"/>
      <c r="C192" s="52"/>
      <c r="D192" s="52"/>
      <c r="E192" s="111" t="s">
        <v>987</v>
      </c>
    </row>
    <row r="193" spans="1:6" ht="14.25" customHeight="1" x14ac:dyDescent="0.2">
      <c r="A193" s="221" t="s">
        <v>992</v>
      </c>
      <c r="B193" s="222"/>
      <c r="C193" s="53"/>
      <c r="D193" s="53"/>
      <c r="E193" s="111">
        <f>227+22.7</f>
        <v>249.7</v>
      </c>
    </row>
    <row r="194" spans="1:6" ht="14.25" customHeight="1" x14ac:dyDescent="0.2">
      <c r="A194" s="221" t="s">
        <v>997</v>
      </c>
      <c r="B194" s="222"/>
      <c r="C194" s="53"/>
      <c r="D194" s="53"/>
      <c r="E194" s="111">
        <f>835+83.5</f>
        <v>918.5</v>
      </c>
    </row>
    <row r="195" spans="1:6" ht="14.25" customHeight="1" x14ac:dyDescent="0.2">
      <c r="A195" s="221" t="s">
        <v>1068</v>
      </c>
      <c r="B195" s="222"/>
      <c r="C195" s="53"/>
      <c r="D195" s="53"/>
      <c r="E195" s="111">
        <f>139+13.9</f>
        <v>152.9</v>
      </c>
    </row>
    <row r="196" spans="1:6" ht="14.25" customHeight="1" x14ac:dyDescent="0.2">
      <c r="A196" s="221" t="s">
        <v>1069</v>
      </c>
      <c r="B196" s="222"/>
      <c r="C196" s="53"/>
      <c r="D196" s="53"/>
      <c r="E196" s="111">
        <v>14</v>
      </c>
    </row>
    <row r="197" spans="1:6" ht="14.25" customHeight="1" x14ac:dyDescent="0.2">
      <c r="A197" s="229" t="s">
        <v>993</v>
      </c>
      <c r="B197" s="230"/>
      <c r="C197" s="230"/>
      <c r="D197" s="53"/>
      <c r="E197" s="111">
        <f>71+7.1</f>
        <v>78.099999999999994</v>
      </c>
    </row>
    <row r="198" spans="1:6" ht="14.25" customHeight="1" x14ac:dyDescent="0.2">
      <c r="A198" s="221" t="s">
        <v>994</v>
      </c>
      <c r="B198" s="222"/>
      <c r="C198" s="53"/>
      <c r="D198" s="53"/>
      <c r="E198" s="111">
        <f>272+27.2</f>
        <v>299.2</v>
      </c>
    </row>
    <row r="199" spans="1:6" ht="15" customHeight="1" x14ac:dyDescent="0.2">
      <c r="A199" s="195" t="s">
        <v>1060</v>
      </c>
      <c r="B199" s="195"/>
      <c r="C199" s="195"/>
      <c r="D199" s="188"/>
      <c r="E199" s="54">
        <f>SUM(E193:E198)</f>
        <v>1712.4</v>
      </c>
    </row>
    <row r="200" spans="1:6" ht="15" customHeight="1" x14ac:dyDescent="0.2">
      <c r="A200" s="80"/>
      <c r="B200" s="90"/>
      <c r="C200" s="90"/>
      <c r="D200" s="90"/>
      <c r="E200" s="108"/>
    </row>
    <row r="201" spans="1:6" ht="15" customHeight="1" x14ac:dyDescent="0.2">
      <c r="A201" s="195" t="s">
        <v>1059</v>
      </c>
      <c r="B201" s="195"/>
      <c r="C201" s="195"/>
      <c r="D201" s="188"/>
      <c r="E201" s="54">
        <v>1018.8</v>
      </c>
    </row>
    <row r="202" spans="1:6" ht="15" customHeight="1" x14ac:dyDescent="0.2">
      <c r="A202" s="195" t="s">
        <v>995</v>
      </c>
      <c r="B202" s="195"/>
      <c r="C202" s="195"/>
      <c r="D202" s="188"/>
      <c r="E202" s="54">
        <v>1712.4</v>
      </c>
    </row>
    <row r="203" spans="1:6" ht="15" customHeight="1" x14ac:dyDescent="0.2">
      <c r="A203" s="197" t="s">
        <v>1061</v>
      </c>
      <c r="B203" s="197"/>
      <c r="C203" s="197"/>
      <c r="D203" s="190"/>
      <c r="E203" s="125">
        <f>E199-E201</f>
        <v>693.60000000000014</v>
      </c>
    </row>
    <row r="204" spans="1:6" x14ac:dyDescent="0.2">
      <c r="A204" s="34"/>
      <c r="E204" s="36"/>
    </row>
    <row r="205" spans="1:6" s="43" customFormat="1" ht="39.75" customHeight="1" x14ac:dyDescent="0.2">
      <c r="A205" s="45" t="s">
        <v>999</v>
      </c>
      <c r="B205" s="211" t="s">
        <v>111</v>
      </c>
      <c r="C205" s="212"/>
      <c r="D205" s="212"/>
      <c r="E205" s="213"/>
      <c r="F205" s="43" t="s">
        <v>1070</v>
      </c>
    </row>
    <row r="206" spans="1:6" s="50" customFormat="1" ht="14.25" customHeight="1" x14ac:dyDescent="0.2">
      <c r="A206" s="51" t="s">
        <v>821</v>
      </c>
      <c r="B206" s="115" t="s">
        <v>951</v>
      </c>
      <c r="C206" s="52" t="s">
        <v>822</v>
      </c>
      <c r="D206" s="52" t="s">
        <v>823</v>
      </c>
      <c r="E206" s="111" t="s">
        <v>943</v>
      </c>
    </row>
    <row r="207" spans="1:6" ht="14.25" customHeight="1" x14ac:dyDescent="0.2">
      <c r="A207" s="112" t="s">
        <v>958</v>
      </c>
      <c r="B207" s="113">
        <v>12</v>
      </c>
      <c r="C207" s="53">
        <f>1.65*0.9</f>
        <v>1.4849999999999999</v>
      </c>
      <c r="D207" s="53">
        <v>0.05</v>
      </c>
      <c r="E207" s="111">
        <f t="shared" ref="E207:E214" si="2">B207*C207*D207</f>
        <v>0.89100000000000001</v>
      </c>
    </row>
    <row r="208" spans="1:6" ht="14.25" customHeight="1" x14ac:dyDescent="0.2">
      <c r="A208" s="112" t="s">
        <v>959</v>
      </c>
      <c r="B208" s="113">
        <v>7</v>
      </c>
      <c r="C208" s="53">
        <f>2*1</f>
        <v>2</v>
      </c>
      <c r="D208" s="53">
        <v>0.05</v>
      </c>
      <c r="E208" s="111">
        <f t="shared" si="2"/>
        <v>0.70000000000000007</v>
      </c>
    </row>
    <row r="209" spans="1:5" ht="14.25" customHeight="1" x14ac:dyDescent="0.2">
      <c r="A209" s="112" t="s">
        <v>960</v>
      </c>
      <c r="B209" s="113">
        <v>28</v>
      </c>
      <c r="C209" s="53">
        <f>0.9*0.9</f>
        <v>0.81</v>
      </c>
      <c r="D209" s="53">
        <v>0.05</v>
      </c>
      <c r="E209" s="111">
        <f t="shared" si="2"/>
        <v>1.1340000000000001</v>
      </c>
    </row>
    <row r="210" spans="1:5" ht="14.25" customHeight="1" x14ac:dyDescent="0.2">
      <c r="A210" s="112" t="s">
        <v>961</v>
      </c>
      <c r="B210" s="113">
        <v>5</v>
      </c>
      <c r="C210" s="53">
        <v>2.59</v>
      </c>
      <c r="D210" s="53">
        <v>0.05</v>
      </c>
      <c r="E210" s="111">
        <f t="shared" si="2"/>
        <v>0.64749999999999996</v>
      </c>
    </row>
    <row r="211" spans="1:5" ht="14.25" customHeight="1" x14ac:dyDescent="0.2">
      <c r="A211" s="112" t="s">
        <v>962</v>
      </c>
      <c r="B211" s="113">
        <v>5</v>
      </c>
      <c r="C211" s="53">
        <f>2*2</f>
        <v>4</v>
      </c>
      <c r="D211" s="53">
        <v>0.05</v>
      </c>
      <c r="E211" s="111">
        <f t="shared" si="2"/>
        <v>1</v>
      </c>
    </row>
    <row r="212" spans="1:5" ht="14.25" customHeight="1" x14ac:dyDescent="0.2">
      <c r="A212" s="112" t="s">
        <v>963</v>
      </c>
      <c r="B212" s="113">
        <v>3</v>
      </c>
      <c r="C212" s="53">
        <f>2*2.73</f>
        <v>5.46</v>
      </c>
      <c r="D212" s="53">
        <v>0.05</v>
      </c>
      <c r="E212" s="111">
        <f t="shared" si="2"/>
        <v>0.81899999999999995</v>
      </c>
    </row>
    <row r="213" spans="1:5" ht="14.25" customHeight="1" x14ac:dyDescent="0.2">
      <c r="A213" s="119" t="s">
        <v>964</v>
      </c>
      <c r="B213" s="120">
        <v>1</v>
      </c>
      <c r="C213" s="121">
        <f>3*2</f>
        <v>6</v>
      </c>
      <c r="D213" s="53">
        <v>0.05</v>
      </c>
      <c r="E213" s="111">
        <f t="shared" si="2"/>
        <v>0.30000000000000004</v>
      </c>
    </row>
    <row r="214" spans="1:5" ht="14.25" customHeight="1" x14ac:dyDescent="0.2">
      <c r="A214" s="119" t="s">
        <v>1000</v>
      </c>
      <c r="B214" s="120">
        <v>4</v>
      </c>
      <c r="C214" s="121">
        <f>2.5*2.5</f>
        <v>6.25</v>
      </c>
      <c r="D214" s="53">
        <v>0.05</v>
      </c>
      <c r="E214" s="111">
        <f t="shared" si="2"/>
        <v>1.25</v>
      </c>
    </row>
    <row r="215" spans="1:5" ht="87" customHeight="1" x14ac:dyDescent="0.2">
      <c r="A215" s="122" t="s">
        <v>974</v>
      </c>
      <c r="B215" s="120">
        <v>1</v>
      </c>
      <c r="C215" s="121">
        <f>0.7*176.24</f>
        <v>123.36799999999999</v>
      </c>
      <c r="D215" s="121">
        <v>0.05</v>
      </c>
      <c r="E215" s="111">
        <f>C215*D215</f>
        <v>6.1684000000000001</v>
      </c>
    </row>
    <row r="216" spans="1:5" ht="42" customHeight="1" x14ac:dyDescent="0.2">
      <c r="A216" s="122" t="s">
        <v>975</v>
      </c>
      <c r="B216" s="120">
        <v>1</v>
      </c>
      <c r="C216" s="121">
        <f>0.85*78.16</f>
        <v>66.435999999999993</v>
      </c>
      <c r="D216" s="121">
        <v>0.05</v>
      </c>
      <c r="E216" s="111">
        <f t="shared" ref="E216:E225" si="3">B216*C216*D216</f>
        <v>3.3217999999999996</v>
      </c>
    </row>
    <row r="217" spans="1:5" ht="40.5" customHeight="1" x14ac:dyDescent="0.2">
      <c r="A217" s="122" t="s">
        <v>976</v>
      </c>
      <c r="B217" s="120">
        <v>1</v>
      </c>
      <c r="C217" s="121">
        <f>0.7*39.03</f>
        <v>27.320999999999998</v>
      </c>
      <c r="D217" s="121">
        <v>0.05</v>
      </c>
      <c r="E217" s="111">
        <f t="shared" si="3"/>
        <v>1.36605</v>
      </c>
    </row>
    <row r="218" spans="1:5" ht="30" customHeight="1" x14ac:dyDescent="0.2">
      <c r="A218" s="122" t="s">
        <v>977</v>
      </c>
      <c r="B218" s="120">
        <v>1</v>
      </c>
      <c r="C218" s="121">
        <f>0.6*12.51</f>
        <v>7.5059999999999993</v>
      </c>
      <c r="D218" s="121">
        <v>0.05</v>
      </c>
      <c r="E218" s="111">
        <f t="shared" si="3"/>
        <v>0.37529999999999997</v>
      </c>
    </row>
    <row r="219" spans="1:5" ht="23.25" customHeight="1" x14ac:dyDescent="0.2">
      <c r="A219" s="122" t="s">
        <v>978</v>
      </c>
      <c r="B219" s="120">
        <v>1</v>
      </c>
      <c r="C219" s="121">
        <f>0.85*32.24</f>
        <v>27.404</v>
      </c>
      <c r="D219" s="121">
        <v>0.05</v>
      </c>
      <c r="E219" s="111">
        <f t="shared" si="3"/>
        <v>1.3702000000000001</v>
      </c>
    </row>
    <row r="220" spans="1:5" ht="27" customHeight="1" x14ac:dyDescent="0.2">
      <c r="A220" s="122" t="s">
        <v>979</v>
      </c>
      <c r="B220" s="120">
        <v>1</v>
      </c>
      <c r="C220" s="121">
        <f>0.8*32.4</f>
        <v>25.92</v>
      </c>
      <c r="D220" s="121">
        <v>0.05</v>
      </c>
      <c r="E220" s="111">
        <f t="shared" si="3"/>
        <v>1.2960000000000003</v>
      </c>
    </row>
    <row r="221" spans="1:5" ht="24" customHeight="1" x14ac:dyDescent="0.2">
      <c r="A221" s="122" t="s">
        <v>980</v>
      </c>
      <c r="B221" s="120">
        <v>1</v>
      </c>
      <c r="C221" s="121">
        <f>0.85*10.46</f>
        <v>8.891</v>
      </c>
      <c r="D221" s="121">
        <v>0.05</v>
      </c>
      <c r="E221" s="111">
        <f t="shared" si="3"/>
        <v>0.44455</v>
      </c>
    </row>
    <row r="222" spans="1:5" ht="26.25" customHeight="1" x14ac:dyDescent="0.2">
      <c r="A222" s="122" t="s">
        <v>981</v>
      </c>
      <c r="B222" s="120">
        <v>1</v>
      </c>
      <c r="C222" s="121">
        <f>0.6*3.77</f>
        <v>2.262</v>
      </c>
      <c r="D222" s="121">
        <v>0.05</v>
      </c>
      <c r="E222" s="111">
        <f t="shared" si="3"/>
        <v>0.11310000000000001</v>
      </c>
    </row>
    <row r="223" spans="1:5" ht="25.5" customHeight="1" x14ac:dyDescent="0.2">
      <c r="A223" s="122" t="s">
        <v>982</v>
      </c>
      <c r="B223" s="120">
        <v>1</v>
      </c>
      <c r="C223" s="121">
        <f>0.7*1.16</f>
        <v>0.81199999999999994</v>
      </c>
      <c r="D223" s="121">
        <v>0.05</v>
      </c>
      <c r="E223" s="111">
        <f t="shared" si="3"/>
        <v>4.0599999999999997E-2</v>
      </c>
    </row>
    <row r="224" spans="1:5" ht="25.5" customHeight="1" x14ac:dyDescent="0.2">
      <c r="A224" s="122" t="s">
        <v>983</v>
      </c>
      <c r="B224" s="120">
        <v>1</v>
      </c>
      <c r="C224" s="121">
        <f>0.8*37.36</f>
        <v>29.888000000000002</v>
      </c>
      <c r="D224" s="121">
        <v>0.05</v>
      </c>
      <c r="E224" s="111">
        <f t="shared" si="3"/>
        <v>1.4944000000000002</v>
      </c>
    </row>
    <row r="225" spans="1:6" ht="25.5" customHeight="1" x14ac:dyDescent="0.2">
      <c r="A225" s="122" t="s">
        <v>984</v>
      </c>
      <c r="B225" s="120">
        <v>1</v>
      </c>
      <c r="C225" s="121">
        <f>0.85*14.18</f>
        <v>12.052999999999999</v>
      </c>
      <c r="D225" s="121">
        <v>0.05</v>
      </c>
      <c r="E225" s="111">
        <f t="shared" si="3"/>
        <v>0.60265000000000002</v>
      </c>
    </row>
    <row r="226" spans="1:6" ht="15" customHeight="1" x14ac:dyDescent="0.2">
      <c r="A226" s="195" t="s">
        <v>1062</v>
      </c>
      <c r="B226" s="195"/>
      <c r="C226" s="195"/>
      <c r="D226" s="188"/>
      <c r="E226" s="54">
        <f>SUM(E207:E225)</f>
        <v>23.33455</v>
      </c>
    </row>
    <row r="227" spans="1:6" ht="15" customHeight="1" x14ac:dyDescent="0.2">
      <c r="A227" s="80"/>
      <c r="B227" s="90"/>
      <c r="C227" s="90"/>
      <c r="D227" s="90"/>
      <c r="E227" s="108"/>
    </row>
    <row r="228" spans="1:6" ht="15" customHeight="1" x14ac:dyDescent="0.2">
      <c r="A228" s="195" t="s">
        <v>1063</v>
      </c>
      <c r="B228" s="195"/>
      <c r="C228" s="195"/>
      <c r="D228" s="188"/>
      <c r="E228" s="54">
        <v>2.36</v>
      </c>
    </row>
    <row r="229" spans="1:6" ht="15" customHeight="1" x14ac:dyDescent="0.2">
      <c r="A229" s="195" t="s">
        <v>1001</v>
      </c>
      <c r="B229" s="195"/>
      <c r="C229" s="195"/>
      <c r="D229" s="188"/>
      <c r="E229" s="54">
        <v>23.93</v>
      </c>
    </row>
    <row r="230" spans="1:6" ht="15" customHeight="1" x14ac:dyDescent="0.2">
      <c r="A230" s="197" t="s">
        <v>1064</v>
      </c>
      <c r="B230" s="197"/>
      <c r="C230" s="197"/>
      <c r="D230" s="190"/>
      <c r="E230" s="125">
        <f>E226-E228</f>
        <v>20.974550000000001</v>
      </c>
    </row>
    <row r="231" spans="1:6" x14ac:dyDescent="0.2">
      <c r="A231" s="34"/>
      <c r="E231" s="36"/>
    </row>
    <row r="232" spans="1:6" s="43" customFormat="1" ht="39.75" customHeight="1" x14ac:dyDescent="0.2">
      <c r="A232" s="45" t="s">
        <v>1002</v>
      </c>
      <c r="B232" s="211" t="s">
        <v>113</v>
      </c>
      <c r="C232" s="212"/>
      <c r="D232" s="212"/>
      <c r="E232" s="213"/>
      <c r="F232" s="43" t="s">
        <v>1070</v>
      </c>
    </row>
    <row r="233" spans="1:6" s="50" customFormat="1" ht="14.25" customHeight="1" x14ac:dyDescent="0.2">
      <c r="A233" s="219" t="s">
        <v>821</v>
      </c>
      <c r="B233" s="220"/>
      <c r="C233" s="52"/>
      <c r="D233" s="52"/>
      <c r="E233" s="111" t="s">
        <v>987</v>
      </c>
    </row>
    <row r="234" spans="1:6" ht="14.25" customHeight="1" x14ac:dyDescent="0.2">
      <c r="A234" s="221" t="s">
        <v>992</v>
      </c>
      <c r="B234" s="222"/>
      <c r="C234" s="53"/>
      <c r="D234" s="53"/>
      <c r="E234" s="111">
        <f>961+96.1</f>
        <v>1057.0999999999999</v>
      </c>
    </row>
    <row r="235" spans="1:6" ht="14.25" customHeight="1" x14ac:dyDescent="0.2">
      <c r="A235" s="221" t="s">
        <v>997</v>
      </c>
      <c r="B235" s="222"/>
      <c r="C235" s="53"/>
      <c r="D235" s="53"/>
      <c r="E235" s="111">
        <f>578+57.8</f>
        <v>635.79999999999995</v>
      </c>
    </row>
    <row r="236" spans="1:6" ht="14.25" customHeight="1" x14ac:dyDescent="0.2">
      <c r="A236" s="221" t="s">
        <v>994</v>
      </c>
      <c r="B236" s="222"/>
      <c r="C236" s="53"/>
      <c r="D236" s="53"/>
      <c r="E236" s="111">
        <f>206+20.6</f>
        <v>226.6</v>
      </c>
    </row>
    <row r="237" spans="1:6" ht="15" customHeight="1" x14ac:dyDescent="0.2">
      <c r="A237" s="195" t="s">
        <v>1060</v>
      </c>
      <c r="B237" s="195"/>
      <c r="C237" s="195"/>
      <c r="D237" s="188"/>
      <c r="E237" s="54">
        <f>SUM(E234:E236)</f>
        <v>1919.4999999999998</v>
      </c>
    </row>
    <row r="238" spans="1:6" ht="15" customHeight="1" x14ac:dyDescent="0.2">
      <c r="A238" s="80"/>
      <c r="B238" s="90"/>
      <c r="C238" s="90"/>
      <c r="D238" s="90"/>
      <c r="E238" s="108"/>
    </row>
    <row r="239" spans="1:6" ht="15" customHeight="1" x14ac:dyDescent="0.2">
      <c r="A239" s="195" t="s">
        <v>1059</v>
      </c>
      <c r="B239" s="195"/>
      <c r="C239" s="195"/>
      <c r="D239" s="188"/>
      <c r="E239" s="54">
        <v>289.2</v>
      </c>
    </row>
    <row r="240" spans="1:6" ht="15" customHeight="1" x14ac:dyDescent="0.2">
      <c r="A240" s="195" t="s">
        <v>995</v>
      </c>
      <c r="B240" s="195"/>
      <c r="C240" s="195"/>
      <c r="D240" s="188"/>
      <c r="E240" s="54">
        <v>1919.5</v>
      </c>
    </row>
    <row r="241" spans="1:6" ht="15" customHeight="1" x14ac:dyDescent="0.2">
      <c r="A241" s="197" t="s">
        <v>1061</v>
      </c>
      <c r="B241" s="197"/>
      <c r="C241" s="197"/>
      <c r="D241" s="190"/>
      <c r="E241" s="125">
        <f>E237-E239</f>
        <v>1630.2999999999997</v>
      </c>
    </row>
    <row r="242" spans="1:6" x14ac:dyDescent="0.2">
      <c r="A242" s="34"/>
      <c r="E242" s="36"/>
    </row>
    <row r="243" spans="1:6" s="43" customFormat="1" ht="39.75" customHeight="1" x14ac:dyDescent="0.2">
      <c r="A243" s="45" t="s">
        <v>1003</v>
      </c>
      <c r="B243" s="211" t="s">
        <v>119</v>
      </c>
      <c r="C243" s="212"/>
      <c r="D243" s="212"/>
      <c r="E243" s="213"/>
      <c r="F243" s="43" t="s">
        <v>1070</v>
      </c>
    </row>
    <row r="244" spans="1:6" s="50" customFormat="1" ht="14.25" customHeight="1" x14ac:dyDescent="0.2">
      <c r="A244" s="219" t="s">
        <v>821</v>
      </c>
      <c r="B244" s="220"/>
      <c r="C244" s="52"/>
      <c r="D244" s="52"/>
      <c r="E244" s="111" t="s">
        <v>987</v>
      </c>
    </row>
    <row r="245" spans="1:6" ht="14.25" customHeight="1" x14ac:dyDescent="0.2">
      <c r="A245" s="221" t="s">
        <v>992</v>
      </c>
      <c r="B245" s="222"/>
      <c r="C245" s="53"/>
      <c r="D245" s="53"/>
      <c r="E245" s="111">
        <f>58+5.8</f>
        <v>63.8</v>
      </c>
    </row>
    <row r="246" spans="1:6" ht="14.25" customHeight="1" x14ac:dyDescent="0.2">
      <c r="A246" s="221" t="s">
        <v>997</v>
      </c>
      <c r="B246" s="222"/>
      <c r="C246" s="53"/>
      <c r="D246" s="53"/>
      <c r="E246" s="111">
        <f>50+5</f>
        <v>55</v>
      </c>
    </row>
    <row r="247" spans="1:6" ht="14.25" customHeight="1" x14ac:dyDescent="0.2">
      <c r="A247" s="221" t="s">
        <v>1068</v>
      </c>
      <c r="B247" s="222"/>
      <c r="C247" s="53"/>
      <c r="D247" s="53"/>
      <c r="E247" s="111">
        <f>134+13.4</f>
        <v>147.4</v>
      </c>
    </row>
    <row r="248" spans="1:6" ht="14.25" customHeight="1" x14ac:dyDescent="0.2">
      <c r="A248" s="221" t="s">
        <v>1069</v>
      </c>
      <c r="B248" s="222"/>
      <c r="C248" s="53"/>
      <c r="D248" s="53"/>
      <c r="E248" s="111">
        <v>10</v>
      </c>
    </row>
    <row r="249" spans="1:6" ht="14.25" customHeight="1" x14ac:dyDescent="0.2">
      <c r="A249" s="221" t="s">
        <v>1240</v>
      </c>
      <c r="B249" s="222"/>
      <c r="C249" s="53"/>
      <c r="D249" s="53"/>
      <c r="E249" s="111">
        <v>0.8</v>
      </c>
    </row>
    <row r="250" spans="1:6" ht="14.25" customHeight="1" x14ac:dyDescent="0.2">
      <c r="A250" s="221" t="s">
        <v>994</v>
      </c>
      <c r="B250" s="222"/>
      <c r="C250" s="53"/>
      <c r="D250" s="53"/>
      <c r="E250" s="111">
        <f>80+8</f>
        <v>88</v>
      </c>
    </row>
    <row r="251" spans="1:6" ht="14.25" customHeight="1" x14ac:dyDescent="0.2">
      <c r="A251" s="227" t="s">
        <v>990</v>
      </c>
      <c r="B251" s="228"/>
      <c r="C251" s="72"/>
      <c r="E251" s="111">
        <f>13.4+1.34</f>
        <v>14.74</v>
      </c>
    </row>
    <row r="252" spans="1:6" ht="15" customHeight="1" x14ac:dyDescent="0.2">
      <c r="A252" s="195" t="s">
        <v>1060</v>
      </c>
      <c r="B252" s="195"/>
      <c r="C252" s="195"/>
      <c r="D252" s="188"/>
      <c r="E252" s="54">
        <f>SUM(E245:E251)</f>
        <v>379.74</v>
      </c>
    </row>
    <row r="253" spans="1:6" ht="15" customHeight="1" x14ac:dyDescent="0.2">
      <c r="A253" s="80"/>
      <c r="B253" s="90"/>
      <c r="C253" s="90"/>
      <c r="D253" s="90"/>
      <c r="E253" s="108"/>
    </row>
    <row r="254" spans="1:6" ht="15" customHeight="1" x14ac:dyDescent="0.2">
      <c r="A254" s="195" t="s">
        <v>1059</v>
      </c>
      <c r="B254" s="195"/>
      <c r="C254" s="195"/>
      <c r="D254" s="188"/>
      <c r="E254" s="54">
        <v>311.3</v>
      </c>
    </row>
    <row r="255" spans="1:6" ht="15" customHeight="1" x14ac:dyDescent="0.2">
      <c r="A255" s="195" t="s">
        <v>995</v>
      </c>
      <c r="B255" s="195"/>
      <c r="C255" s="195"/>
      <c r="D255" s="188"/>
      <c r="E255" s="54">
        <v>379.74</v>
      </c>
    </row>
    <row r="256" spans="1:6" ht="15" customHeight="1" x14ac:dyDescent="0.2">
      <c r="A256" s="197" t="s">
        <v>996</v>
      </c>
      <c r="B256" s="197"/>
      <c r="C256" s="197"/>
      <c r="D256" s="190"/>
      <c r="E256" s="125">
        <f>E252-E254</f>
        <v>68.44</v>
      </c>
    </row>
    <row r="257" spans="1:6" x14ac:dyDescent="0.2">
      <c r="A257" s="34"/>
      <c r="E257" s="36"/>
    </row>
    <row r="258" spans="1:6" s="43" customFormat="1" ht="39.75" customHeight="1" x14ac:dyDescent="0.2">
      <c r="A258" s="45" t="s">
        <v>1004</v>
      </c>
      <c r="B258" s="211" t="s">
        <v>854</v>
      </c>
      <c r="C258" s="212"/>
      <c r="D258" s="212"/>
      <c r="E258" s="213"/>
      <c r="F258" s="43" t="s">
        <v>1070</v>
      </c>
    </row>
    <row r="259" spans="1:6" s="50" customFormat="1" ht="14.25" customHeight="1" x14ac:dyDescent="0.2">
      <c r="A259" s="219" t="s">
        <v>821</v>
      </c>
      <c r="B259" s="220"/>
      <c r="C259" s="52"/>
      <c r="D259" s="52"/>
      <c r="E259" s="111" t="s">
        <v>943</v>
      </c>
    </row>
    <row r="260" spans="1:6" ht="14.25" customHeight="1" x14ac:dyDescent="0.2">
      <c r="A260" s="112" t="s">
        <v>1005</v>
      </c>
      <c r="B260" s="113"/>
      <c r="C260" s="53"/>
      <c r="D260" s="53"/>
      <c r="E260" s="111">
        <v>72.05</v>
      </c>
    </row>
    <row r="261" spans="1:6" ht="14.25" customHeight="1" x14ac:dyDescent="0.2">
      <c r="A261" s="112" t="s">
        <v>1006</v>
      </c>
      <c r="B261" s="113"/>
      <c r="C261" s="53"/>
      <c r="D261" s="53"/>
      <c r="E261" s="111">
        <v>73.05</v>
      </c>
    </row>
    <row r="262" spans="1:6" ht="14.25" customHeight="1" x14ac:dyDescent="0.2">
      <c r="A262" s="112" t="s">
        <v>1072</v>
      </c>
      <c r="B262" s="113"/>
      <c r="C262" s="53"/>
      <c r="D262" s="53"/>
      <c r="E262" s="111">
        <v>4.0999999999999996</v>
      </c>
    </row>
    <row r="263" spans="1:6" ht="14.25" customHeight="1" x14ac:dyDescent="0.2">
      <c r="A263" s="112" t="s">
        <v>1007</v>
      </c>
      <c r="B263" s="113"/>
      <c r="C263" s="53"/>
      <c r="D263" s="53"/>
      <c r="E263" s="111">
        <v>8.69</v>
      </c>
    </row>
    <row r="264" spans="1:6" ht="14.25" customHeight="1" x14ac:dyDescent="0.2">
      <c r="A264" s="112" t="s">
        <v>1008</v>
      </c>
      <c r="B264" s="113"/>
      <c r="C264" s="53"/>
      <c r="D264" s="53"/>
      <c r="E264" s="111">
        <v>1.82</v>
      </c>
    </row>
    <row r="265" spans="1:6" ht="14.25" customHeight="1" x14ac:dyDescent="0.2">
      <c r="A265" s="112" t="s">
        <v>1071</v>
      </c>
      <c r="B265" s="113"/>
      <c r="C265" s="53"/>
      <c r="D265" s="53"/>
      <c r="E265" s="111">
        <v>0.43</v>
      </c>
    </row>
    <row r="266" spans="1:6" ht="14.25" customHeight="1" x14ac:dyDescent="0.2">
      <c r="A266" s="112" t="s">
        <v>1009</v>
      </c>
      <c r="B266" s="113"/>
      <c r="C266" s="53"/>
      <c r="D266" s="53"/>
      <c r="E266" s="111">
        <f>0.03</f>
        <v>0.03</v>
      </c>
    </row>
    <row r="267" spans="1:6" ht="15" customHeight="1" x14ac:dyDescent="0.2">
      <c r="A267" s="195" t="s">
        <v>1065</v>
      </c>
      <c r="B267" s="195"/>
      <c r="C267" s="195"/>
      <c r="D267" s="188"/>
      <c r="E267" s="54">
        <f>SUM(E260:E266)</f>
        <v>160.16999999999999</v>
      </c>
    </row>
    <row r="268" spans="1:6" ht="15" customHeight="1" x14ac:dyDescent="0.2">
      <c r="A268" s="80"/>
      <c r="B268" s="90"/>
      <c r="C268" s="90"/>
      <c r="D268" s="90"/>
      <c r="E268" s="108"/>
    </row>
    <row r="269" spans="1:6" ht="15" customHeight="1" x14ac:dyDescent="0.2">
      <c r="A269" s="195" t="s">
        <v>1066</v>
      </c>
      <c r="B269" s="195"/>
      <c r="C269" s="195"/>
      <c r="D269" s="188"/>
      <c r="E269" s="54">
        <v>0</v>
      </c>
    </row>
    <row r="270" spans="1:6" ht="15" customHeight="1" x14ac:dyDescent="0.2">
      <c r="A270" s="195" t="s">
        <v>1010</v>
      </c>
      <c r="B270" s="195"/>
      <c r="C270" s="195"/>
      <c r="D270" s="188"/>
      <c r="E270" s="54">
        <v>160.16999999999999</v>
      </c>
    </row>
    <row r="271" spans="1:6" ht="15" customHeight="1" x14ac:dyDescent="0.2">
      <c r="A271" s="197" t="s">
        <v>1067</v>
      </c>
      <c r="B271" s="197"/>
      <c r="C271" s="197"/>
      <c r="D271" s="190"/>
      <c r="E271" s="125">
        <f>E267-E269</f>
        <v>160.16999999999999</v>
      </c>
    </row>
    <row r="272" spans="1:6" x14ac:dyDescent="0.2">
      <c r="A272" s="34"/>
      <c r="E272" s="36"/>
    </row>
    <row r="273" spans="1:6" s="43" customFormat="1" ht="39.75" customHeight="1" x14ac:dyDescent="0.2">
      <c r="A273" s="45" t="s">
        <v>1011</v>
      </c>
      <c r="B273" s="211" t="s">
        <v>1012</v>
      </c>
      <c r="C273" s="212"/>
      <c r="D273" s="212"/>
      <c r="E273" s="213"/>
      <c r="F273" s="43" t="s">
        <v>1070</v>
      </c>
    </row>
    <row r="274" spans="1:6" s="50" customFormat="1" ht="14.25" customHeight="1" x14ac:dyDescent="0.2">
      <c r="A274" s="219" t="s">
        <v>821</v>
      </c>
      <c r="B274" s="220"/>
      <c r="C274" s="52"/>
      <c r="D274" s="52"/>
      <c r="E274" s="111" t="s">
        <v>829</v>
      </c>
    </row>
    <row r="275" spans="1:6" s="50" customFormat="1" ht="14.25" customHeight="1" x14ac:dyDescent="0.2">
      <c r="A275" s="221" t="s">
        <v>992</v>
      </c>
      <c r="B275" s="222"/>
      <c r="C275" s="53"/>
      <c r="D275" s="53"/>
      <c r="E275" s="111">
        <f>661+66.1</f>
        <v>727.1</v>
      </c>
    </row>
    <row r="276" spans="1:6" ht="14.25" customHeight="1" x14ac:dyDescent="0.2">
      <c r="A276" s="221" t="s">
        <v>997</v>
      </c>
      <c r="B276" s="222"/>
      <c r="C276" s="53"/>
      <c r="D276" s="53"/>
      <c r="E276" s="111">
        <f>1411+141.1</f>
        <v>1552.1</v>
      </c>
    </row>
    <row r="277" spans="1:6" ht="14.25" customHeight="1" x14ac:dyDescent="0.2">
      <c r="A277" s="221" t="s">
        <v>1013</v>
      </c>
      <c r="B277" s="222"/>
      <c r="C277" s="53"/>
      <c r="D277" s="53"/>
      <c r="E277" s="111">
        <f>136+13.6</f>
        <v>149.6</v>
      </c>
    </row>
    <row r="278" spans="1:6" ht="14.25" customHeight="1" x14ac:dyDescent="0.2">
      <c r="A278" s="195" t="s">
        <v>1060</v>
      </c>
      <c r="B278" s="195"/>
      <c r="C278" s="195"/>
      <c r="D278" s="188"/>
      <c r="E278" s="54">
        <f>SUM(E275:E277)</f>
        <v>2428.7999999999997</v>
      </c>
    </row>
    <row r="279" spans="1:6" ht="14.25" customHeight="1" x14ac:dyDescent="0.2">
      <c r="A279" s="71"/>
      <c r="B279" s="85"/>
      <c r="C279" s="85"/>
      <c r="D279" s="85"/>
      <c r="E279" s="54"/>
    </row>
    <row r="280" spans="1:6" ht="14.25" customHeight="1" x14ac:dyDescent="0.2">
      <c r="A280" s="195" t="s">
        <v>1059</v>
      </c>
      <c r="B280" s="195"/>
      <c r="C280" s="195"/>
      <c r="D280" s="188"/>
      <c r="E280" s="54">
        <v>0</v>
      </c>
    </row>
    <row r="281" spans="1:6" ht="15" customHeight="1" x14ac:dyDescent="0.2">
      <c r="A281" s="195" t="s">
        <v>995</v>
      </c>
      <c r="B281" s="195"/>
      <c r="C281" s="195"/>
      <c r="D281" s="188"/>
      <c r="E281" s="54">
        <v>2428.8000000000002</v>
      </c>
    </row>
    <row r="282" spans="1:6" ht="15" customHeight="1" x14ac:dyDescent="0.2">
      <c r="A282" s="225" t="s">
        <v>1061</v>
      </c>
      <c r="B282" s="225"/>
      <c r="C282" s="225"/>
      <c r="D282" s="226"/>
      <c r="E282" s="130">
        <f>E278-E280</f>
        <v>2428.7999999999997</v>
      </c>
    </row>
  </sheetData>
  <mergeCells count="176">
    <mergeCell ref="A18:D18"/>
    <mergeCell ref="A21:D21"/>
    <mergeCell ref="A22:D22"/>
    <mergeCell ref="B24:E24"/>
    <mergeCell ref="A25:E25"/>
    <mergeCell ref="A26:D26"/>
    <mergeCell ref="A20:D20"/>
    <mergeCell ref="A11:E11"/>
    <mergeCell ref="B13:E13"/>
    <mergeCell ref="B14:E14"/>
    <mergeCell ref="B15:E15"/>
    <mergeCell ref="A16:D16"/>
    <mergeCell ref="A17:D17"/>
    <mergeCell ref="A36:D36"/>
    <mergeCell ref="A37:D37"/>
    <mergeCell ref="A38:D38"/>
    <mergeCell ref="A41:D41"/>
    <mergeCell ref="A42:D42"/>
    <mergeCell ref="B44:E44"/>
    <mergeCell ref="A40:D40"/>
    <mergeCell ref="A27:D27"/>
    <mergeCell ref="A30:D30"/>
    <mergeCell ref="A31:D31"/>
    <mergeCell ref="B33:E33"/>
    <mergeCell ref="A34:E34"/>
    <mergeCell ref="A35:D35"/>
    <mergeCell ref="A29:D29"/>
    <mergeCell ref="B55:E55"/>
    <mergeCell ref="A56:D56"/>
    <mergeCell ref="A57:D57"/>
    <mergeCell ref="B54:E54"/>
    <mergeCell ref="A46:D46"/>
    <mergeCell ref="A47:D47"/>
    <mergeCell ref="A48:D48"/>
    <mergeCell ref="A51:D51"/>
    <mergeCell ref="A52:D52"/>
    <mergeCell ref="A53:B53"/>
    <mergeCell ref="A50:D50"/>
    <mergeCell ref="A91:D91"/>
    <mergeCell ref="A92:D92"/>
    <mergeCell ref="B94:E94"/>
    <mergeCell ref="A95:B95"/>
    <mergeCell ref="A98:D98"/>
    <mergeCell ref="A101:D101"/>
    <mergeCell ref="B84:E84"/>
    <mergeCell ref="A86:A87"/>
    <mergeCell ref="A88:D88"/>
    <mergeCell ref="A90:D90"/>
    <mergeCell ref="A111:D111"/>
    <mergeCell ref="B113:E113"/>
    <mergeCell ref="A114:B114"/>
    <mergeCell ref="C114:D114"/>
    <mergeCell ref="A115:B115"/>
    <mergeCell ref="C115:D115"/>
    <mergeCell ref="A102:D102"/>
    <mergeCell ref="B104:E104"/>
    <mergeCell ref="A105:B105"/>
    <mergeCell ref="A106:B106"/>
    <mergeCell ref="A107:D107"/>
    <mergeCell ref="A110:D110"/>
    <mergeCell ref="A109:D109"/>
    <mergeCell ref="A126:D126"/>
    <mergeCell ref="A129:D129"/>
    <mergeCell ref="A130:D130"/>
    <mergeCell ref="B132:E132"/>
    <mergeCell ref="A116:B116"/>
    <mergeCell ref="C116:D116"/>
    <mergeCell ref="A117:D117"/>
    <mergeCell ref="A120:D120"/>
    <mergeCell ref="A121:D121"/>
    <mergeCell ref="B123:E123"/>
    <mergeCell ref="A119:D119"/>
    <mergeCell ref="A128:D128"/>
    <mergeCell ref="A146:D146"/>
    <mergeCell ref="A147:D147"/>
    <mergeCell ref="B149:E149"/>
    <mergeCell ref="A150:D150"/>
    <mergeCell ref="A152:D152"/>
    <mergeCell ref="A153:D153"/>
    <mergeCell ref="B133:E133"/>
    <mergeCell ref="A143:D143"/>
    <mergeCell ref="A145:D145"/>
    <mergeCell ref="A144:D144"/>
    <mergeCell ref="B180:E180"/>
    <mergeCell ref="A181:B181"/>
    <mergeCell ref="A182:D182"/>
    <mergeCell ref="A187:D187"/>
    <mergeCell ref="A178:D178"/>
    <mergeCell ref="A154:D154"/>
    <mergeCell ref="A157:D157"/>
    <mergeCell ref="A158:D158"/>
    <mergeCell ref="B160:E160"/>
    <mergeCell ref="A174:D174"/>
    <mergeCell ref="A177:D177"/>
    <mergeCell ref="A156:D156"/>
    <mergeCell ref="A176:D176"/>
    <mergeCell ref="A199:D199"/>
    <mergeCell ref="B191:E191"/>
    <mergeCell ref="A192:B192"/>
    <mergeCell ref="A193:B193"/>
    <mergeCell ref="A183:B183"/>
    <mergeCell ref="A184:B184"/>
    <mergeCell ref="A185:D185"/>
    <mergeCell ref="A188:D188"/>
    <mergeCell ref="A189:D189"/>
    <mergeCell ref="A282:D282"/>
    <mergeCell ref="A259:B259"/>
    <mergeCell ref="A267:D267"/>
    <mergeCell ref="A270:D270"/>
    <mergeCell ref="A271:D271"/>
    <mergeCell ref="B273:E273"/>
    <mergeCell ref="A274:B274"/>
    <mergeCell ref="A250:B250"/>
    <mergeCell ref="A251:B251"/>
    <mergeCell ref="A252:D252"/>
    <mergeCell ref="A255:D255"/>
    <mergeCell ref="A256:D256"/>
    <mergeCell ref="B258:E258"/>
    <mergeCell ref="A254:D254"/>
    <mergeCell ref="A269:D269"/>
    <mergeCell ref="A280:D280"/>
    <mergeCell ref="B243:E243"/>
    <mergeCell ref="A100:D100"/>
    <mergeCell ref="A240:D240"/>
    <mergeCell ref="A241:D241"/>
    <mergeCell ref="A239:D239"/>
    <mergeCell ref="B232:E232"/>
    <mergeCell ref="A233:B233"/>
    <mergeCell ref="A234:B234"/>
    <mergeCell ref="A235:B235"/>
    <mergeCell ref="A236:B236"/>
    <mergeCell ref="A237:D237"/>
    <mergeCell ref="A202:D202"/>
    <mergeCell ref="A203:D203"/>
    <mergeCell ref="B205:E205"/>
    <mergeCell ref="A226:D226"/>
    <mergeCell ref="A229:D229"/>
    <mergeCell ref="A230:D230"/>
    <mergeCell ref="A228:D228"/>
    <mergeCell ref="A201:D201"/>
    <mergeCell ref="A194:B194"/>
    <mergeCell ref="A195:B195"/>
    <mergeCell ref="A196:B196"/>
    <mergeCell ref="A197:C197"/>
    <mergeCell ref="A198:B198"/>
    <mergeCell ref="A275:B275"/>
    <mergeCell ref="A276:B276"/>
    <mergeCell ref="A277:B277"/>
    <mergeCell ref="A278:D278"/>
    <mergeCell ref="A281:D281"/>
    <mergeCell ref="A244:B244"/>
    <mergeCell ref="A245:B245"/>
    <mergeCell ref="A246:B246"/>
    <mergeCell ref="A247:B247"/>
    <mergeCell ref="A248:B248"/>
    <mergeCell ref="A249:B249"/>
    <mergeCell ref="B75:E75"/>
    <mergeCell ref="A76:B76"/>
    <mergeCell ref="A77:B77"/>
    <mergeCell ref="A78:D78"/>
    <mergeCell ref="A81:D81"/>
    <mergeCell ref="A82:D82"/>
    <mergeCell ref="A80:D80"/>
    <mergeCell ref="A58:D58"/>
    <mergeCell ref="A59:D59"/>
    <mergeCell ref="A62:D62"/>
    <mergeCell ref="A61:D61"/>
    <mergeCell ref="A71:D71"/>
    <mergeCell ref="B73:E73"/>
    <mergeCell ref="B74:E74"/>
    <mergeCell ref="A63:D63"/>
    <mergeCell ref="B65:E65"/>
    <mergeCell ref="A66:D66"/>
    <mergeCell ref="A67:D67"/>
    <mergeCell ref="A70:D70"/>
    <mergeCell ref="A69:D69"/>
  </mergeCells>
  <printOptions horizontalCentered="1"/>
  <pageMargins left="0.51181102362204722" right="0.51181102362204722" top="0.78740157480314965" bottom="0.78740157480314965" header="0.31496062992125984" footer="0.31496062992125984"/>
  <pageSetup paperSize="9" scale="90" orientation="portrait" verticalDpi="360"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1B335-9ED6-45BC-BA36-B7A490E8E458}">
  <dimension ref="A1:F159"/>
  <sheetViews>
    <sheetView view="pageBreakPreview" zoomScale="90" zoomScaleNormal="95" zoomScaleSheetLayoutView="90" workbookViewId="0">
      <selection activeCell="C25" sqref="C25"/>
    </sheetView>
  </sheetViews>
  <sheetFormatPr defaultRowHeight="12.75" x14ac:dyDescent="0.2"/>
  <cols>
    <col min="1" max="1" width="14.625" style="35" customWidth="1"/>
    <col min="2" max="2" width="17.625" style="35" customWidth="1"/>
    <col min="3" max="3" width="21.875" style="35" customWidth="1"/>
    <col min="4" max="4" width="15.5" style="35" customWidth="1"/>
    <col min="5" max="5" width="12.75" style="42" customWidth="1"/>
    <col min="6" max="16384" width="9" style="33"/>
  </cols>
  <sheetData>
    <row r="1" spans="1:5" x14ac:dyDescent="0.2">
      <c r="A1" s="30"/>
      <c r="B1" s="31"/>
      <c r="C1" s="31"/>
      <c r="D1" s="31"/>
      <c r="E1" s="32"/>
    </row>
    <row r="2" spans="1:5" x14ac:dyDescent="0.2">
      <c r="A2" s="34"/>
      <c r="E2" s="36"/>
    </row>
    <row r="3" spans="1:5" x14ac:dyDescent="0.2">
      <c r="A3" s="34"/>
      <c r="E3" s="36"/>
    </row>
    <row r="4" spans="1:5" x14ac:dyDescent="0.2">
      <c r="A4" s="34"/>
      <c r="E4" s="36"/>
    </row>
    <row r="5" spans="1:5" x14ac:dyDescent="0.2">
      <c r="A5" s="38"/>
      <c r="B5" s="38"/>
      <c r="C5" s="39"/>
      <c r="D5" s="39"/>
      <c r="E5" s="76"/>
    </row>
    <row r="6" spans="1:5" x14ac:dyDescent="0.2">
      <c r="A6" s="38" t="s">
        <v>820</v>
      </c>
      <c r="B6" s="38"/>
      <c r="C6" s="39"/>
      <c r="D6" s="39"/>
      <c r="E6" s="76"/>
    </row>
    <row r="7" spans="1:5" x14ac:dyDescent="0.2">
      <c r="A7" s="38" t="s">
        <v>2</v>
      </c>
      <c r="B7" s="38"/>
      <c r="C7" s="39"/>
      <c r="D7" s="39"/>
      <c r="E7" s="76"/>
    </row>
    <row r="8" spans="1:5" x14ac:dyDescent="0.2">
      <c r="A8" s="38" t="s">
        <v>8</v>
      </c>
      <c r="B8" s="38"/>
      <c r="C8" s="39"/>
      <c r="D8" s="39"/>
      <c r="E8" s="76"/>
    </row>
    <row r="9" spans="1:5" x14ac:dyDescent="0.2">
      <c r="A9" s="37" t="s">
        <v>844</v>
      </c>
      <c r="B9" s="38"/>
      <c r="C9" s="39"/>
      <c r="D9" s="39"/>
      <c r="E9" s="76"/>
    </row>
    <row r="10" spans="1:5" ht="13.5" thickBot="1" x14ac:dyDescent="0.25">
      <c r="A10" s="77"/>
      <c r="B10" s="77"/>
      <c r="C10" s="77"/>
      <c r="D10" s="77"/>
      <c r="E10" s="77"/>
    </row>
    <row r="11" spans="1:5" s="43" customFormat="1" ht="21" customHeight="1" thickBot="1" x14ac:dyDescent="0.25">
      <c r="A11" s="208" t="s">
        <v>896</v>
      </c>
      <c r="B11" s="209"/>
      <c r="C11" s="209"/>
      <c r="D11" s="209"/>
      <c r="E11" s="210"/>
    </row>
    <row r="12" spans="1:5" x14ac:dyDescent="0.2">
      <c r="A12" s="34"/>
      <c r="E12" s="36"/>
    </row>
    <row r="13" spans="1:5" ht="17.25" customHeight="1" x14ac:dyDescent="0.2">
      <c r="A13" s="44" t="s">
        <v>826</v>
      </c>
      <c r="B13" s="199" t="s">
        <v>827</v>
      </c>
      <c r="C13" s="199"/>
      <c r="D13" s="199"/>
      <c r="E13" s="199"/>
    </row>
    <row r="14" spans="1:5" s="43" customFormat="1" ht="39.75" customHeight="1" x14ac:dyDescent="0.2">
      <c r="A14" s="78" t="s">
        <v>828</v>
      </c>
      <c r="B14" s="214" t="s">
        <v>831</v>
      </c>
      <c r="C14" s="214"/>
      <c r="D14" s="214"/>
      <c r="E14" s="214"/>
    </row>
    <row r="15" spans="1:5" s="50" customFormat="1" ht="14.25" customHeight="1" x14ac:dyDescent="0.2">
      <c r="A15" s="239" t="s">
        <v>1241</v>
      </c>
      <c r="B15" s="240"/>
      <c r="C15" s="240"/>
      <c r="D15" s="240"/>
      <c r="E15" s="152">
        <v>197275.58</v>
      </c>
    </row>
    <row r="16" spans="1:5" ht="6.75" customHeight="1" x14ac:dyDescent="0.2">
      <c r="A16" s="200"/>
      <c r="B16" s="201"/>
      <c r="C16" s="63"/>
      <c r="D16" s="63"/>
      <c r="E16" s="84"/>
    </row>
    <row r="17" spans="1:5" ht="14.25" customHeight="1" x14ac:dyDescent="0.2">
      <c r="A17" s="188" t="s">
        <v>1087</v>
      </c>
      <c r="B17" s="189"/>
      <c r="C17" s="189"/>
      <c r="D17" s="189"/>
      <c r="E17" s="84">
        <v>187025.58199999999</v>
      </c>
    </row>
    <row r="18" spans="1:5" ht="14.25" customHeight="1" x14ac:dyDescent="0.2">
      <c r="A18" s="188" t="s">
        <v>1076</v>
      </c>
      <c r="B18" s="189"/>
      <c r="C18" s="189"/>
      <c r="D18" s="189"/>
      <c r="E18" s="84">
        <v>244040</v>
      </c>
    </row>
    <row r="19" spans="1:5" ht="14.25" customHeight="1" x14ac:dyDescent="0.2">
      <c r="A19" s="190" t="s">
        <v>1086</v>
      </c>
      <c r="B19" s="191"/>
      <c r="C19" s="191"/>
      <c r="D19" s="191"/>
      <c r="E19" s="86">
        <f>E15-E17</f>
        <v>10249.997999999992</v>
      </c>
    </row>
    <row r="20" spans="1:5" ht="14.25" customHeight="1" x14ac:dyDescent="0.2">
      <c r="A20" s="200"/>
      <c r="B20" s="201"/>
      <c r="C20" s="63"/>
      <c r="D20" s="63"/>
      <c r="E20" s="84"/>
    </row>
    <row r="21" spans="1:5" s="43" customFormat="1" ht="39.75" customHeight="1" x14ac:dyDescent="0.2">
      <c r="A21" s="78" t="s">
        <v>856</v>
      </c>
      <c r="B21" s="214" t="s">
        <v>1077</v>
      </c>
      <c r="C21" s="214"/>
      <c r="D21" s="214"/>
      <c r="E21" s="214"/>
    </row>
    <row r="22" spans="1:5" s="50" customFormat="1" ht="14.25" customHeight="1" x14ac:dyDescent="0.2">
      <c r="A22" s="219" t="s">
        <v>821</v>
      </c>
      <c r="B22" s="220"/>
      <c r="C22" s="52"/>
      <c r="D22" s="52"/>
      <c r="E22" s="111" t="s">
        <v>1247</v>
      </c>
    </row>
    <row r="23" spans="1:5" ht="14.25" customHeight="1" x14ac:dyDescent="0.2">
      <c r="A23" s="221" t="s">
        <v>1224</v>
      </c>
      <c r="B23" s="222"/>
      <c r="C23" s="53"/>
      <c r="D23" s="53"/>
      <c r="E23" s="111">
        <v>10</v>
      </c>
    </row>
    <row r="24" spans="1:5" ht="14.25" customHeight="1" x14ac:dyDescent="0.2">
      <c r="A24" s="127" t="s">
        <v>1236</v>
      </c>
      <c r="B24" s="128"/>
      <c r="C24" s="53"/>
      <c r="D24" s="53"/>
      <c r="E24" s="111">
        <v>38.5</v>
      </c>
    </row>
    <row r="25" spans="1:5" ht="14.25" customHeight="1" x14ac:dyDescent="0.2">
      <c r="A25" s="127" t="s">
        <v>1237</v>
      </c>
      <c r="B25" s="128"/>
      <c r="C25" s="53"/>
      <c r="D25" s="53"/>
      <c r="E25" s="111">
        <v>77</v>
      </c>
    </row>
    <row r="26" spans="1:5" ht="14.25" customHeight="1" x14ac:dyDescent="0.2">
      <c r="A26" s="127" t="s">
        <v>1235</v>
      </c>
      <c r="B26" s="128"/>
      <c r="C26" s="53"/>
      <c r="D26" s="53"/>
      <c r="E26" s="111">
        <v>28.9</v>
      </c>
    </row>
    <row r="27" spans="1:5" ht="14.25" customHeight="1" x14ac:dyDescent="0.2">
      <c r="A27" s="127" t="s">
        <v>1227</v>
      </c>
      <c r="B27" s="128"/>
      <c r="C27" s="53"/>
      <c r="D27" s="53"/>
      <c r="E27" s="111">
        <f>14+20</f>
        <v>34</v>
      </c>
    </row>
    <row r="28" spans="1:5" ht="14.25" customHeight="1" x14ac:dyDescent="0.2">
      <c r="A28" s="127" t="s">
        <v>1238</v>
      </c>
      <c r="B28" s="128"/>
      <c r="C28" s="53"/>
      <c r="D28" s="53"/>
      <c r="E28" s="111">
        <v>23</v>
      </c>
    </row>
    <row r="29" spans="1:5" ht="14.25" customHeight="1" x14ac:dyDescent="0.2">
      <c r="A29" s="127" t="s">
        <v>1226</v>
      </c>
      <c r="B29" s="128"/>
      <c r="C29" s="53"/>
      <c r="D29" s="53"/>
      <c r="E29" s="111">
        <v>38</v>
      </c>
    </row>
    <row r="30" spans="1:5" ht="14.25" customHeight="1" x14ac:dyDescent="0.2">
      <c r="A30" s="127" t="s">
        <v>1228</v>
      </c>
      <c r="B30" s="128"/>
      <c r="C30" s="53"/>
      <c r="D30" s="53"/>
      <c r="E30" s="111">
        <f>97/2</f>
        <v>48.5</v>
      </c>
    </row>
    <row r="31" spans="1:5" ht="14.25" customHeight="1" x14ac:dyDescent="0.2">
      <c r="A31" s="127" t="s">
        <v>1229</v>
      </c>
      <c r="B31" s="128"/>
      <c r="C31" s="53"/>
      <c r="D31" s="53"/>
      <c r="E31" s="111">
        <v>99</v>
      </c>
    </row>
    <row r="32" spans="1:5" ht="14.25" customHeight="1" x14ac:dyDescent="0.2">
      <c r="A32" s="127" t="s">
        <v>1233</v>
      </c>
      <c r="B32" s="128"/>
      <c r="C32" s="53"/>
      <c r="D32" s="53"/>
      <c r="E32" s="111">
        <f>59/3</f>
        <v>19.666666666666668</v>
      </c>
    </row>
    <row r="33" spans="1:6" ht="14.25" customHeight="1" x14ac:dyDescent="0.2">
      <c r="A33" s="221" t="s">
        <v>1223</v>
      </c>
      <c r="B33" s="222"/>
      <c r="C33" s="53"/>
      <c r="D33" s="53"/>
      <c r="E33" s="111">
        <v>0.8</v>
      </c>
    </row>
    <row r="34" spans="1:6" ht="14.25" customHeight="1" x14ac:dyDescent="0.2">
      <c r="A34" s="221" t="s">
        <v>1231</v>
      </c>
      <c r="B34" s="222"/>
      <c r="C34" s="53"/>
      <c r="D34" s="53"/>
      <c r="E34" s="111">
        <v>2.2000000000000002</v>
      </c>
    </row>
    <row r="35" spans="1:6" ht="14.25" customHeight="1" x14ac:dyDescent="0.2">
      <c r="A35" s="127" t="s">
        <v>1230</v>
      </c>
      <c r="B35" s="128"/>
      <c r="C35" s="53"/>
      <c r="D35" s="53"/>
      <c r="E35" s="111">
        <v>2.2000000000000002</v>
      </c>
    </row>
    <row r="36" spans="1:6" ht="14.25" customHeight="1" x14ac:dyDescent="0.2">
      <c r="A36" s="127" t="s">
        <v>1225</v>
      </c>
      <c r="B36" s="128"/>
      <c r="C36" s="53"/>
      <c r="D36" s="53"/>
      <c r="E36" s="111">
        <f>20.2/2</f>
        <v>10.1</v>
      </c>
    </row>
    <row r="37" spans="1:6" ht="14.25" customHeight="1" x14ac:dyDescent="0.2">
      <c r="A37" s="127" t="s">
        <v>1239</v>
      </c>
      <c r="B37" s="128"/>
      <c r="C37" s="53"/>
      <c r="D37" s="53"/>
      <c r="E37" s="111">
        <v>45.5</v>
      </c>
    </row>
    <row r="38" spans="1:6" ht="14.25" customHeight="1" x14ac:dyDescent="0.2">
      <c r="A38" s="229" t="s">
        <v>1078</v>
      </c>
      <c r="B38" s="230"/>
      <c r="C38" s="230"/>
      <c r="D38" s="53"/>
      <c r="E38" s="111">
        <f>40.5+4.05</f>
        <v>44.55</v>
      </c>
    </row>
    <row r="39" spans="1:6" ht="14.25" customHeight="1" x14ac:dyDescent="0.2">
      <c r="A39" s="221" t="s">
        <v>1079</v>
      </c>
      <c r="B39" s="222"/>
      <c r="C39" s="53"/>
      <c r="D39" s="53"/>
      <c r="E39" s="111">
        <f>12.3+1.23</f>
        <v>13.530000000000001</v>
      </c>
    </row>
    <row r="40" spans="1:6" ht="14.25" customHeight="1" x14ac:dyDescent="0.2">
      <c r="A40" s="221" t="s">
        <v>1080</v>
      </c>
      <c r="B40" s="222"/>
      <c r="C40" s="53"/>
      <c r="D40" s="53"/>
      <c r="E40" s="111">
        <f>9.2+0.92</f>
        <v>10.119999999999999</v>
      </c>
    </row>
    <row r="41" spans="1:6" ht="14.25" customHeight="1" x14ac:dyDescent="0.2">
      <c r="A41" s="221" t="s">
        <v>1081</v>
      </c>
      <c r="B41" s="222"/>
      <c r="C41" s="53"/>
      <c r="D41" s="53"/>
      <c r="E41" s="111">
        <f>18.3+1.83</f>
        <v>20.130000000000003</v>
      </c>
    </row>
    <row r="42" spans="1:6" ht="15" customHeight="1" x14ac:dyDescent="0.2">
      <c r="A42" s="195" t="s">
        <v>1056</v>
      </c>
      <c r="B42" s="195"/>
      <c r="C42" s="195"/>
      <c r="D42" s="188"/>
      <c r="E42" s="54">
        <f>SUM(E23:E41)</f>
        <v>565.6966666666666</v>
      </c>
    </row>
    <row r="43" spans="1:6" ht="15" customHeight="1" x14ac:dyDescent="0.2">
      <c r="A43" s="71"/>
      <c r="B43" s="85"/>
      <c r="C43" s="85"/>
      <c r="D43" s="85"/>
      <c r="E43" s="54"/>
    </row>
    <row r="44" spans="1:6" ht="15" customHeight="1" x14ac:dyDescent="0.2">
      <c r="A44" s="195" t="s">
        <v>1057</v>
      </c>
      <c r="B44" s="195"/>
      <c r="C44" s="195"/>
      <c r="D44" s="188"/>
      <c r="E44" s="54">
        <v>0</v>
      </c>
    </row>
    <row r="45" spans="1:6" ht="15" customHeight="1" x14ac:dyDescent="0.2">
      <c r="A45" s="195" t="s">
        <v>991</v>
      </c>
      <c r="B45" s="195"/>
      <c r="C45" s="195"/>
      <c r="D45" s="188"/>
      <c r="E45" s="54">
        <f>Planilha!D70</f>
        <v>1025.6799999999998</v>
      </c>
    </row>
    <row r="46" spans="1:6" ht="15" customHeight="1" x14ac:dyDescent="0.2">
      <c r="A46" s="197" t="s">
        <v>1058</v>
      </c>
      <c r="B46" s="197"/>
      <c r="C46" s="197"/>
      <c r="D46" s="190"/>
      <c r="E46" s="125">
        <f>E42-E44</f>
        <v>565.6966666666666</v>
      </c>
    </row>
    <row r="47" spans="1:6" x14ac:dyDescent="0.2">
      <c r="A47" s="34"/>
      <c r="E47" s="36"/>
    </row>
    <row r="48" spans="1:6" s="43" customFormat="1" ht="39.75" customHeight="1" x14ac:dyDescent="0.2">
      <c r="A48" s="78" t="s">
        <v>858</v>
      </c>
      <c r="B48" s="256" t="s">
        <v>859</v>
      </c>
      <c r="C48" s="257"/>
      <c r="D48" s="257"/>
      <c r="E48" s="258"/>
      <c r="F48" s="43" t="s">
        <v>1041</v>
      </c>
    </row>
    <row r="49" spans="1:6" s="50" customFormat="1" ht="14.25" customHeight="1" x14ac:dyDescent="0.2">
      <c r="A49" s="219" t="s">
        <v>821</v>
      </c>
      <c r="B49" s="220"/>
      <c r="C49" s="52"/>
      <c r="D49" s="52"/>
      <c r="E49" s="111" t="s">
        <v>1247</v>
      </c>
    </row>
    <row r="50" spans="1:6" ht="14.25" customHeight="1" x14ac:dyDescent="0.2">
      <c r="A50" s="221" t="s">
        <v>1224</v>
      </c>
      <c r="B50" s="222"/>
      <c r="C50" s="53"/>
      <c r="D50" s="53"/>
      <c r="E50" s="111">
        <v>14</v>
      </c>
    </row>
    <row r="51" spans="1:6" ht="14.25" customHeight="1" x14ac:dyDescent="0.2">
      <c r="A51" s="221" t="s">
        <v>1234</v>
      </c>
      <c r="B51" s="222"/>
      <c r="C51" s="53"/>
      <c r="D51" s="53"/>
      <c r="E51" s="111">
        <v>65.5</v>
      </c>
    </row>
    <row r="52" spans="1:6" ht="14.25" customHeight="1" x14ac:dyDescent="0.2">
      <c r="A52" s="127" t="s">
        <v>1227</v>
      </c>
      <c r="B52" s="128"/>
      <c r="C52" s="53"/>
      <c r="D52" s="53"/>
      <c r="E52" s="111">
        <v>17</v>
      </c>
    </row>
    <row r="53" spans="1:6" ht="15" customHeight="1" x14ac:dyDescent="0.2">
      <c r="A53" s="195" t="s">
        <v>1056</v>
      </c>
      <c r="B53" s="195"/>
      <c r="C53" s="195"/>
      <c r="D53" s="188"/>
      <c r="E53" s="54">
        <f>SUM(E50:E52)</f>
        <v>96.5</v>
      </c>
    </row>
    <row r="54" spans="1:6" ht="15" customHeight="1" x14ac:dyDescent="0.2">
      <c r="A54" s="71"/>
      <c r="B54" s="85"/>
      <c r="C54" s="85"/>
      <c r="D54" s="85"/>
      <c r="E54" s="54"/>
    </row>
    <row r="55" spans="1:6" ht="15" customHeight="1" x14ac:dyDescent="0.2">
      <c r="A55" s="195" t="s">
        <v>1243</v>
      </c>
      <c r="B55" s="195"/>
      <c r="C55" s="195"/>
      <c r="D55" s="188"/>
      <c r="E55" s="54">
        <v>0</v>
      </c>
    </row>
    <row r="56" spans="1:6" ht="15" customHeight="1" x14ac:dyDescent="0.2">
      <c r="A56" s="195" t="s">
        <v>1244</v>
      </c>
      <c r="B56" s="195"/>
      <c r="C56" s="195"/>
      <c r="D56" s="188"/>
      <c r="E56" s="54">
        <f>Planilha!D71</f>
        <v>314.5</v>
      </c>
    </row>
    <row r="57" spans="1:6" ht="15" customHeight="1" x14ac:dyDescent="0.2">
      <c r="A57" s="197" t="s">
        <v>1245</v>
      </c>
      <c r="B57" s="197"/>
      <c r="C57" s="197"/>
      <c r="D57" s="190"/>
      <c r="E57" s="125">
        <f>E53-E55</f>
        <v>96.5</v>
      </c>
    </row>
    <row r="58" spans="1:6" x14ac:dyDescent="0.2">
      <c r="A58" s="34"/>
      <c r="E58" s="36"/>
    </row>
    <row r="59" spans="1:6" s="43" customFormat="1" ht="39.75" customHeight="1" x14ac:dyDescent="0.2">
      <c r="A59" s="78" t="s">
        <v>860</v>
      </c>
      <c r="B59" s="256" t="s">
        <v>1082</v>
      </c>
      <c r="C59" s="257"/>
      <c r="D59" s="257"/>
      <c r="E59" s="258"/>
      <c r="F59" s="43" t="s">
        <v>1041</v>
      </c>
    </row>
    <row r="60" spans="1:6" s="50" customFormat="1" ht="14.25" customHeight="1" x14ac:dyDescent="0.2">
      <c r="A60" s="219" t="s">
        <v>821</v>
      </c>
      <c r="B60" s="220"/>
      <c r="C60" s="52"/>
      <c r="D60" s="52"/>
      <c r="E60" s="111" t="s">
        <v>1247</v>
      </c>
    </row>
    <row r="61" spans="1:6" ht="14.25" customHeight="1" x14ac:dyDescent="0.2">
      <c r="A61" s="221" t="s">
        <v>1223</v>
      </c>
      <c r="B61" s="222"/>
      <c r="C61" s="53"/>
      <c r="D61" s="53"/>
      <c r="E61" s="111">
        <v>2.2999999999999998</v>
      </c>
    </row>
    <row r="62" spans="1:6" ht="14.25" customHeight="1" x14ac:dyDescent="0.2">
      <c r="A62" s="221" t="s">
        <v>1231</v>
      </c>
      <c r="B62" s="222"/>
      <c r="C62" s="53"/>
      <c r="D62" s="53"/>
      <c r="E62" s="111">
        <f>6.3</f>
        <v>6.3</v>
      </c>
    </row>
    <row r="63" spans="1:6" ht="14.25" customHeight="1" x14ac:dyDescent="0.2">
      <c r="A63" s="127" t="s">
        <v>1230</v>
      </c>
      <c r="B63" s="128"/>
      <c r="C63" s="53"/>
      <c r="D63" s="53"/>
      <c r="E63" s="111">
        <v>6.3</v>
      </c>
    </row>
    <row r="64" spans="1:6" ht="14.25" customHeight="1" x14ac:dyDescent="0.2">
      <c r="A64" s="127" t="s">
        <v>1225</v>
      </c>
      <c r="B64" s="128"/>
      <c r="C64" s="53"/>
      <c r="D64" s="53"/>
      <c r="E64" s="111">
        <v>57.5</v>
      </c>
    </row>
    <row r="65" spans="1:5" ht="14.25" customHeight="1" x14ac:dyDescent="0.2">
      <c r="A65" s="127" t="s">
        <v>1239</v>
      </c>
      <c r="B65" s="128"/>
      <c r="C65" s="53"/>
      <c r="D65" s="53"/>
      <c r="E65" s="111">
        <v>59.3</v>
      </c>
    </row>
    <row r="66" spans="1:5" ht="14.25" customHeight="1" x14ac:dyDescent="0.2">
      <c r="A66" s="127" t="s">
        <v>1232</v>
      </c>
      <c r="B66" s="128"/>
      <c r="C66" s="53"/>
      <c r="D66" s="53"/>
      <c r="E66" s="111">
        <f>140*3</f>
        <v>420</v>
      </c>
    </row>
    <row r="67" spans="1:5" ht="14.25" customHeight="1" x14ac:dyDescent="0.2">
      <c r="A67" s="127" t="s">
        <v>1237</v>
      </c>
      <c r="B67" s="128"/>
      <c r="C67" s="53"/>
      <c r="D67" s="53"/>
      <c r="E67" s="111">
        <v>163</v>
      </c>
    </row>
    <row r="68" spans="1:5" ht="14.25" customHeight="1" x14ac:dyDescent="0.2">
      <c r="A68" s="127" t="s">
        <v>1235</v>
      </c>
      <c r="B68" s="128"/>
      <c r="C68" s="53"/>
      <c r="D68" s="53"/>
      <c r="E68" s="111">
        <v>59.3</v>
      </c>
    </row>
    <row r="69" spans="1:5" ht="14.25" customHeight="1" x14ac:dyDescent="0.2">
      <c r="A69" s="127" t="s">
        <v>1227</v>
      </c>
      <c r="B69" s="128"/>
      <c r="C69" s="53"/>
      <c r="D69" s="53"/>
      <c r="E69" s="111">
        <v>43</v>
      </c>
    </row>
    <row r="70" spans="1:5" ht="14.25" customHeight="1" x14ac:dyDescent="0.2">
      <c r="A70" s="127" t="s">
        <v>1238</v>
      </c>
      <c r="B70" s="128"/>
      <c r="C70" s="53"/>
      <c r="D70" s="53"/>
      <c r="E70" s="111">
        <v>54</v>
      </c>
    </row>
    <row r="71" spans="1:5" ht="14.25" customHeight="1" x14ac:dyDescent="0.2">
      <c r="A71" s="127" t="s">
        <v>1226</v>
      </c>
      <c r="B71" s="128"/>
      <c r="C71" s="53"/>
      <c r="D71" s="53"/>
      <c r="E71" s="111">
        <v>81</v>
      </c>
    </row>
    <row r="72" spans="1:5" ht="14.25" customHeight="1" x14ac:dyDescent="0.2">
      <c r="A72" s="127" t="s">
        <v>1228</v>
      </c>
      <c r="B72" s="128"/>
      <c r="C72" s="53"/>
      <c r="D72" s="53"/>
      <c r="E72" s="111">
        <f>207/2</f>
        <v>103.5</v>
      </c>
    </row>
    <row r="73" spans="1:5" ht="14.25" customHeight="1" x14ac:dyDescent="0.2">
      <c r="A73" s="127" t="s">
        <v>1229</v>
      </c>
      <c r="B73" s="128"/>
      <c r="C73" s="53"/>
      <c r="D73" s="53"/>
      <c r="E73" s="111">
        <f>210</f>
        <v>210</v>
      </c>
    </row>
    <row r="74" spans="1:5" ht="14.25" customHeight="1" x14ac:dyDescent="0.2">
      <c r="A74" s="127" t="s">
        <v>1233</v>
      </c>
      <c r="B74" s="128"/>
      <c r="C74" s="53"/>
      <c r="D74" s="53"/>
      <c r="E74" s="111">
        <v>42</v>
      </c>
    </row>
    <row r="75" spans="1:5" ht="15" customHeight="1" x14ac:dyDescent="0.2">
      <c r="A75" s="195" t="s">
        <v>1056</v>
      </c>
      <c r="B75" s="195"/>
      <c r="C75" s="195"/>
      <c r="D75" s="188"/>
      <c r="E75" s="54">
        <f>SUM(E61:E74)</f>
        <v>1307.5</v>
      </c>
    </row>
    <row r="76" spans="1:5" ht="15" customHeight="1" x14ac:dyDescent="0.2">
      <c r="A76" s="80"/>
      <c r="B76" s="90"/>
      <c r="C76" s="90"/>
      <c r="D76" s="90"/>
      <c r="E76" s="108"/>
    </row>
    <row r="77" spans="1:5" ht="15" customHeight="1" x14ac:dyDescent="0.2">
      <c r="A77" s="195" t="s">
        <v>1252</v>
      </c>
      <c r="B77" s="195"/>
      <c r="C77" s="195"/>
      <c r="D77" s="188"/>
      <c r="E77" s="54">
        <v>0</v>
      </c>
    </row>
    <row r="78" spans="1:5" ht="15" customHeight="1" x14ac:dyDescent="0.2">
      <c r="A78" s="195" t="s">
        <v>1253</v>
      </c>
      <c r="B78" s="195"/>
      <c r="C78" s="195"/>
      <c r="D78" s="188"/>
      <c r="E78" s="54">
        <f>Planilha!D72</f>
        <v>1392.6999999999998</v>
      </c>
    </row>
    <row r="79" spans="1:5" ht="15" customHeight="1" x14ac:dyDescent="0.2">
      <c r="A79" s="197" t="s">
        <v>1254</v>
      </c>
      <c r="B79" s="197"/>
      <c r="C79" s="197"/>
      <c r="D79" s="190"/>
      <c r="E79" s="125">
        <f>E75-E77</f>
        <v>1307.5</v>
      </c>
    </row>
    <row r="80" spans="1:5" x14ac:dyDescent="0.2">
      <c r="A80" s="34"/>
      <c r="E80" s="36"/>
    </row>
    <row r="81" spans="1:6" s="43" customFormat="1" ht="39.75" customHeight="1" x14ac:dyDescent="0.2">
      <c r="A81" s="132" t="s">
        <v>862</v>
      </c>
      <c r="B81" s="256" t="s">
        <v>103</v>
      </c>
      <c r="C81" s="257"/>
      <c r="D81" s="257"/>
      <c r="E81" s="258"/>
      <c r="F81" s="43" t="s">
        <v>1041</v>
      </c>
    </row>
    <row r="82" spans="1:6" s="50" customFormat="1" ht="14.25" customHeight="1" x14ac:dyDescent="0.2">
      <c r="A82" s="219" t="s">
        <v>821</v>
      </c>
      <c r="B82" s="220"/>
      <c r="C82" s="52"/>
      <c r="D82" s="52"/>
      <c r="E82" s="111" t="s">
        <v>1247</v>
      </c>
    </row>
    <row r="83" spans="1:6" ht="14.25" customHeight="1" x14ac:dyDescent="0.2">
      <c r="A83" s="229" t="s">
        <v>1078</v>
      </c>
      <c r="B83" s="230"/>
      <c r="C83" s="230"/>
      <c r="D83" s="53"/>
      <c r="E83" s="111">
        <f>154.3+15.43</f>
        <v>169.73000000000002</v>
      </c>
    </row>
    <row r="84" spans="1:6" ht="14.25" customHeight="1" x14ac:dyDescent="0.2">
      <c r="A84" s="221" t="s">
        <v>1079</v>
      </c>
      <c r="B84" s="222"/>
      <c r="C84" s="143"/>
      <c r="D84" s="53"/>
      <c r="E84" s="111">
        <f>49.4+4.94</f>
        <v>54.339999999999996</v>
      </c>
    </row>
    <row r="85" spans="1:6" ht="14.25" customHeight="1" x14ac:dyDescent="0.2">
      <c r="A85" s="221" t="s">
        <v>1080</v>
      </c>
      <c r="B85" s="222"/>
      <c r="C85" s="53"/>
      <c r="D85" s="53"/>
      <c r="E85" s="111">
        <f>40.7+4.07</f>
        <v>44.77</v>
      </c>
    </row>
    <row r="86" spans="1:6" ht="14.25" customHeight="1" x14ac:dyDescent="0.2">
      <c r="A86" s="221" t="s">
        <v>1081</v>
      </c>
      <c r="B86" s="222"/>
      <c r="C86" s="53"/>
      <c r="D86" s="53"/>
      <c r="E86" s="111">
        <f>74+7.4</f>
        <v>81.400000000000006</v>
      </c>
    </row>
    <row r="87" spans="1:6" ht="15" customHeight="1" x14ac:dyDescent="0.2">
      <c r="A87" s="195" t="s">
        <v>1248</v>
      </c>
      <c r="B87" s="195"/>
      <c r="C87" s="195"/>
      <c r="D87" s="188"/>
      <c r="E87" s="54">
        <f>SUM(E83:E86)</f>
        <v>350.24</v>
      </c>
    </row>
    <row r="88" spans="1:6" ht="15" customHeight="1" x14ac:dyDescent="0.2">
      <c r="A88" s="71"/>
      <c r="B88" s="85"/>
      <c r="C88" s="85"/>
      <c r="D88" s="85"/>
      <c r="E88" s="54"/>
    </row>
    <row r="89" spans="1:6" ht="15" customHeight="1" x14ac:dyDescent="0.2">
      <c r="A89" s="195" t="s">
        <v>1250</v>
      </c>
      <c r="B89" s="195"/>
      <c r="C89" s="195"/>
      <c r="D89" s="188"/>
      <c r="E89" s="54">
        <v>0</v>
      </c>
    </row>
    <row r="90" spans="1:6" ht="15" customHeight="1" x14ac:dyDescent="0.2">
      <c r="A90" s="195" t="s">
        <v>1249</v>
      </c>
      <c r="B90" s="195"/>
      <c r="C90" s="195"/>
      <c r="D90" s="188"/>
      <c r="E90" s="54">
        <f>Planilha!D73</f>
        <v>665.53</v>
      </c>
    </row>
    <row r="91" spans="1:6" ht="15" customHeight="1" x14ac:dyDescent="0.2">
      <c r="A91" s="197" t="s">
        <v>1195</v>
      </c>
      <c r="B91" s="197"/>
      <c r="C91" s="197"/>
      <c r="D91" s="190"/>
      <c r="E91" s="125">
        <f>E87-E89</f>
        <v>350.24</v>
      </c>
    </row>
    <row r="92" spans="1:6" x14ac:dyDescent="0.2">
      <c r="A92" s="34"/>
      <c r="E92" s="36"/>
    </row>
    <row r="93" spans="1:6" s="43" customFormat="1" ht="34.5" customHeight="1" x14ac:dyDescent="0.2">
      <c r="A93" s="78" t="s">
        <v>865</v>
      </c>
      <c r="B93" s="214" t="s">
        <v>866</v>
      </c>
      <c r="C93" s="214"/>
      <c r="D93" s="214"/>
      <c r="E93" s="214"/>
      <c r="F93" s="43" t="s">
        <v>1041</v>
      </c>
    </row>
    <row r="94" spans="1:6" s="50" customFormat="1" ht="14.25" customHeight="1" x14ac:dyDescent="0.2">
      <c r="A94" s="219" t="s">
        <v>821</v>
      </c>
      <c r="B94" s="220"/>
      <c r="C94" s="52"/>
      <c r="D94" s="52"/>
      <c r="E94" s="111" t="s">
        <v>1247</v>
      </c>
    </row>
    <row r="95" spans="1:6" ht="14.25" customHeight="1" x14ac:dyDescent="0.2">
      <c r="A95" s="227" t="s">
        <v>1111</v>
      </c>
      <c r="B95" s="228"/>
      <c r="C95" s="63"/>
      <c r="D95" s="53"/>
      <c r="E95" s="111">
        <f>2434*0.6</f>
        <v>1460.3999999999999</v>
      </c>
    </row>
    <row r="96" spans="1:6" ht="14.25" customHeight="1" x14ac:dyDescent="0.2">
      <c r="A96" s="227" t="s">
        <v>1113</v>
      </c>
      <c r="B96" s="228"/>
      <c r="C96" s="63"/>
      <c r="D96" s="53"/>
      <c r="E96" s="111">
        <v>411</v>
      </c>
    </row>
    <row r="97" spans="1:6" ht="14.25" customHeight="1" x14ac:dyDescent="0.2">
      <c r="A97" s="227" t="s">
        <v>1112</v>
      </c>
      <c r="B97" s="228"/>
      <c r="C97" s="228"/>
      <c r="D97" s="53"/>
      <c r="E97" s="111">
        <v>733</v>
      </c>
    </row>
    <row r="98" spans="1:6" ht="14.25" customHeight="1" x14ac:dyDescent="0.2">
      <c r="A98" s="227" t="s">
        <v>1114</v>
      </c>
      <c r="B98" s="228"/>
      <c r="C98" s="63"/>
      <c r="D98" s="53"/>
      <c r="E98" s="111">
        <v>706.5</v>
      </c>
    </row>
    <row r="99" spans="1:6" ht="14.25" customHeight="1" x14ac:dyDescent="0.2">
      <c r="A99" s="227" t="s">
        <v>1115</v>
      </c>
      <c r="B99" s="228"/>
      <c r="C99" s="63"/>
      <c r="D99" s="53"/>
      <c r="E99" s="111">
        <v>546</v>
      </c>
    </row>
    <row r="100" spans="1:6" ht="14.25" customHeight="1" x14ac:dyDescent="0.2">
      <c r="A100" s="227" t="s">
        <v>1116</v>
      </c>
      <c r="B100" s="228"/>
      <c r="C100" s="63"/>
      <c r="D100" s="53"/>
      <c r="E100" s="111">
        <v>546</v>
      </c>
    </row>
    <row r="101" spans="1:6" ht="14.25" customHeight="1" x14ac:dyDescent="0.2">
      <c r="A101" s="227" t="s">
        <v>1117</v>
      </c>
      <c r="B101" s="228"/>
      <c r="C101" s="63"/>
      <c r="D101" s="53"/>
      <c r="E101" s="111">
        <v>546</v>
      </c>
    </row>
    <row r="102" spans="1:6" ht="14.25" customHeight="1" x14ac:dyDescent="0.2">
      <c r="A102" s="227" t="s">
        <v>1216</v>
      </c>
      <c r="B102" s="228"/>
      <c r="C102" s="63"/>
      <c r="D102" s="53"/>
      <c r="E102" s="111">
        <f>1092*0.3</f>
        <v>327.59999999999997</v>
      </c>
    </row>
    <row r="103" spans="1:6" ht="15" customHeight="1" x14ac:dyDescent="0.2">
      <c r="A103" s="195" t="s">
        <v>1135</v>
      </c>
      <c r="B103" s="195"/>
      <c r="C103" s="195"/>
      <c r="D103" s="188"/>
      <c r="E103" s="54">
        <f>SUM(E95:E102)</f>
        <v>5276.5</v>
      </c>
    </row>
    <row r="104" spans="1:6" ht="15" customHeight="1" x14ac:dyDescent="0.2">
      <c r="A104" s="80"/>
      <c r="B104" s="90"/>
      <c r="C104" s="90"/>
      <c r="D104" s="90"/>
      <c r="E104" s="108"/>
    </row>
    <row r="105" spans="1:6" ht="15" customHeight="1" x14ac:dyDescent="0.2">
      <c r="A105" s="195" t="s">
        <v>1138</v>
      </c>
      <c r="B105" s="195"/>
      <c r="C105" s="195"/>
      <c r="D105" s="188"/>
      <c r="E105" s="54">
        <v>0</v>
      </c>
    </row>
    <row r="106" spans="1:6" ht="15" customHeight="1" x14ac:dyDescent="0.2">
      <c r="A106" s="195" t="s">
        <v>1136</v>
      </c>
      <c r="B106" s="195"/>
      <c r="C106" s="195"/>
      <c r="D106" s="188"/>
      <c r="E106" s="54">
        <v>7725.41</v>
      </c>
    </row>
    <row r="107" spans="1:6" ht="15" customHeight="1" x14ac:dyDescent="0.2">
      <c r="A107" s="197" t="s">
        <v>1137</v>
      </c>
      <c r="B107" s="197"/>
      <c r="C107" s="197"/>
      <c r="D107" s="190"/>
      <c r="E107" s="125">
        <f>E103</f>
        <v>5276.5</v>
      </c>
    </row>
    <row r="108" spans="1:6" x14ac:dyDescent="0.2">
      <c r="A108" s="34"/>
      <c r="E108" s="36"/>
    </row>
    <row r="109" spans="1:6" ht="17.25" customHeight="1" x14ac:dyDescent="0.2">
      <c r="A109" s="78" t="s">
        <v>873</v>
      </c>
      <c r="B109" s="214" t="s">
        <v>874</v>
      </c>
      <c r="C109" s="214"/>
      <c r="D109" s="214"/>
      <c r="E109" s="214"/>
      <c r="F109" s="33" t="s">
        <v>1041</v>
      </c>
    </row>
    <row r="110" spans="1:6" ht="14.25" customHeight="1" x14ac:dyDescent="0.2">
      <c r="A110" s="219" t="s">
        <v>821</v>
      </c>
      <c r="B110" s="220"/>
      <c r="C110" s="220"/>
      <c r="D110" s="72" t="s">
        <v>822</v>
      </c>
      <c r="E110" s="84" t="s">
        <v>968</v>
      </c>
    </row>
    <row r="111" spans="1:6" ht="14.25" customHeight="1" x14ac:dyDescent="0.2">
      <c r="A111" s="227" t="s">
        <v>1111</v>
      </c>
      <c r="B111" s="228"/>
      <c r="C111" s="63"/>
      <c r="D111" s="63">
        <f>316.87-5.74-0.63-0.71-8.67</f>
        <v>301.12</v>
      </c>
      <c r="E111" s="84">
        <f>D111</f>
        <v>301.12</v>
      </c>
    </row>
    <row r="112" spans="1:6" ht="14.25" customHeight="1" x14ac:dyDescent="0.2">
      <c r="A112" s="227" t="s">
        <v>1113</v>
      </c>
      <c r="B112" s="228"/>
      <c r="C112" s="63"/>
      <c r="D112" s="53">
        <f>215.95-5.74-0.63-0.71-10.25</f>
        <v>198.61999999999998</v>
      </c>
      <c r="E112" s="84">
        <f>D112</f>
        <v>198.61999999999998</v>
      </c>
    </row>
    <row r="113" spans="1:6" ht="14.25" customHeight="1" x14ac:dyDescent="0.2">
      <c r="A113" s="227" t="s">
        <v>1114</v>
      </c>
      <c r="B113" s="228"/>
      <c r="C113" s="63"/>
      <c r="D113" s="53">
        <f>153.84-5.74-0.71-0.63</f>
        <v>146.76</v>
      </c>
      <c r="E113" s="84">
        <f>D113</f>
        <v>146.76</v>
      </c>
    </row>
    <row r="114" spans="1:6" ht="14.25" customHeight="1" x14ac:dyDescent="0.2">
      <c r="A114" s="227" t="s">
        <v>1115</v>
      </c>
      <c r="B114" s="228"/>
      <c r="C114" s="63"/>
      <c r="D114" s="53">
        <f>133.07-5.74-0.63-0.71</f>
        <v>125.99000000000001</v>
      </c>
      <c r="E114" s="84">
        <f>D114</f>
        <v>125.99000000000001</v>
      </c>
    </row>
    <row r="115" spans="1:6" ht="14.25" customHeight="1" x14ac:dyDescent="0.2">
      <c r="A115" s="227" t="s">
        <v>1116</v>
      </c>
      <c r="B115" s="228"/>
      <c r="C115" s="63"/>
      <c r="D115" s="53">
        <f t="shared" ref="D115:D116" si="0">133.07-5.74-0.63-0.71</f>
        <v>125.99000000000001</v>
      </c>
      <c r="E115" s="84">
        <f>D115</f>
        <v>125.99000000000001</v>
      </c>
    </row>
    <row r="116" spans="1:6" ht="14.25" customHeight="1" x14ac:dyDescent="0.2">
      <c r="A116" s="227" t="s">
        <v>1117</v>
      </c>
      <c r="B116" s="228"/>
      <c r="C116" s="63"/>
      <c r="D116" s="53">
        <f t="shared" si="0"/>
        <v>125.99000000000001</v>
      </c>
      <c r="E116" s="84">
        <f t="shared" ref="E116" si="1">D116</f>
        <v>125.99000000000001</v>
      </c>
    </row>
    <row r="117" spans="1:6" ht="14.25" customHeight="1" x14ac:dyDescent="0.2">
      <c r="A117" s="227" t="s">
        <v>1216</v>
      </c>
      <c r="B117" s="228"/>
      <c r="C117" s="63"/>
      <c r="D117" s="53">
        <f>137.55-5.74</f>
        <v>131.81</v>
      </c>
      <c r="E117" s="84">
        <f t="shared" ref="E117" si="2">D117</f>
        <v>131.81</v>
      </c>
    </row>
    <row r="118" spans="1:6" ht="14.25" customHeight="1" x14ac:dyDescent="0.2">
      <c r="A118" s="188" t="s">
        <v>1108</v>
      </c>
      <c r="B118" s="189"/>
      <c r="C118" s="189"/>
      <c r="D118" s="189"/>
      <c r="E118" s="84">
        <f>SUM(E111:E117)</f>
        <v>1156.28</v>
      </c>
    </row>
    <row r="119" spans="1:6" ht="14.25" customHeight="1" x14ac:dyDescent="0.2">
      <c r="A119" s="71"/>
      <c r="B119" s="85"/>
      <c r="C119" s="85"/>
      <c r="D119" s="85"/>
      <c r="E119" s="84"/>
    </row>
    <row r="120" spans="1:6" ht="14.25" customHeight="1" x14ac:dyDescent="0.2">
      <c r="A120" s="188" t="s">
        <v>1109</v>
      </c>
      <c r="B120" s="189"/>
      <c r="C120" s="189"/>
      <c r="D120" s="189"/>
      <c r="E120" s="84">
        <v>0</v>
      </c>
    </row>
    <row r="121" spans="1:6" ht="14.25" customHeight="1" x14ac:dyDescent="0.2">
      <c r="A121" s="188" t="s">
        <v>1083</v>
      </c>
      <c r="B121" s="189"/>
      <c r="C121" s="189"/>
      <c r="D121" s="189"/>
      <c r="E121" s="84">
        <v>1444.91</v>
      </c>
    </row>
    <row r="122" spans="1:6" ht="14.25" customHeight="1" x14ac:dyDescent="0.2">
      <c r="A122" s="190" t="s">
        <v>1110</v>
      </c>
      <c r="B122" s="191"/>
      <c r="C122" s="191"/>
      <c r="D122" s="191"/>
      <c r="E122" s="86">
        <f>E118</f>
        <v>1156.28</v>
      </c>
    </row>
    <row r="123" spans="1:6" ht="12.75" customHeight="1" x14ac:dyDescent="0.2">
      <c r="A123" s="200"/>
      <c r="B123" s="201"/>
      <c r="C123" s="63"/>
      <c r="D123" s="63"/>
      <c r="E123" s="84"/>
    </row>
    <row r="124" spans="1:6" s="43" customFormat="1" ht="39.75" customHeight="1" x14ac:dyDescent="0.2">
      <c r="A124" s="78" t="s">
        <v>875</v>
      </c>
      <c r="B124" s="214" t="s">
        <v>876</v>
      </c>
      <c r="C124" s="214"/>
      <c r="D124" s="214"/>
      <c r="E124" s="214"/>
      <c r="F124" s="43" t="s">
        <v>1041</v>
      </c>
    </row>
    <row r="125" spans="1:6" s="50" customFormat="1" ht="14.25" customHeight="1" x14ac:dyDescent="0.2">
      <c r="A125" s="219" t="s">
        <v>821</v>
      </c>
      <c r="B125" s="220"/>
      <c r="C125" s="52"/>
      <c r="D125" s="52"/>
      <c r="E125" s="111" t="s">
        <v>943</v>
      </c>
    </row>
    <row r="126" spans="1:6" s="50" customFormat="1" ht="14.25" customHeight="1" x14ac:dyDescent="0.2">
      <c r="A126" s="129" t="s">
        <v>1123</v>
      </c>
      <c r="B126" s="72"/>
      <c r="C126" s="58"/>
      <c r="D126" s="58"/>
      <c r="E126" s="111">
        <v>3.2</v>
      </c>
    </row>
    <row r="127" spans="1:6" s="50" customFormat="1" ht="14.25" customHeight="1" x14ac:dyDescent="0.2">
      <c r="A127" s="129" t="s">
        <v>1125</v>
      </c>
      <c r="B127" s="72"/>
      <c r="C127" s="58"/>
      <c r="D127" s="58"/>
      <c r="E127" s="111">
        <v>0.9</v>
      </c>
    </row>
    <row r="128" spans="1:6" s="50" customFormat="1" ht="14.25" customHeight="1" x14ac:dyDescent="0.2">
      <c r="A128" s="140" t="s">
        <v>1124</v>
      </c>
      <c r="B128" s="133"/>
      <c r="C128" s="58"/>
      <c r="D128" s="58"/>
      <c r="E128" s="111">
        <v>2</v>
      </c>
    </row>
    <row r="129" spans="1:5" s="50" customFormat="1" ht="14.25" customHeight="1" x14ac:dyDescent="0.2">
      <c r="A129" s="140" t="s">
        <v>1122</v>
      </c>
      <c r="B129" s="133"/>
      <c r="C129" s="58"/>
      <c r="D129" s="58"/>
      <c r="E129" s="111">
        <v>2</v>
      </c>
    </row>
    <row r="130" spans="1:5" s="50" customFormat="1" ht="14.25" customHeight="1" x14ac:dyDescent="0.2">
      <c r="A130" s="140" t="s">
        <v>1126</v>
      </c>
      <c r="B130" s="133"/>
      <c r="C130" s="58"/>
      <c r="D130" s="58"/>
      <c r="E130" s="111">
        <v>1</v>
      </c>
    </row>
    <row r="131" spans="1:5" s="50" customFormat="1" ht="14.25" customHeight="1" x14ac:dyDescent="0.2">
      <c r="A131" s="140" t="s">
        <v>1127</v>
      </c>
      <c r="B131" s="133"/>
      <c r="C131" s="58"/>
      <c r="D131" s="58"/>
      <c r="E131" s="111">
        <v>1</v>
      </c>
    </row>
    <row r="132" spans="1:5" s="50" customFormat="1" ht="14.25" customHeight="1" x14ac:dyDescent="0.2">
      <c r="A132" s="140" t="s">
        <v>1128</v>
      </c>
      <c r="B132" s="133"/>
      <c r="C132" s="58"/>
      <c r="D132" s="58"/>
      <c r="E132" s="111">
        <v>1</v>
      </c>
    </row>
    <row r="133" spans="1:5" ht="14.25" customHeight="1" x14ac:dyDescent="0.2">
      <c r="A133" s="112" t="s">
        <v>1129</v>
      </c>
      <c r="B133" s="113"/>
      <c r="C133" s="53"/>
      <c r="D133" s="53"/>
      <c r="E133" s="111">
        <f>47.8*0.7</f>
        <v>33.459999999999994</v>
      </c>
    </row>
    <row r="134" spans="1:5" ht="14.25" customHeight="1" x14ac:dyDescent="0.2">
      <c r="A134" s="112" t="s">
        <v>1130</v>
      </c>
      <c r="B134" s="113"/>
      <c r="C134" s="53"/>
      <c r="D134" s="53"/>
      <c r="E134" s="111">
        <f>38.6/2</f>
        <v>19.3</v>
      </c>
    </row>
    <row r="135" spans="1:5" ht="14.25" customHeight="1" x14ac:dyDescent="0.2">
      <c r="A135" s="112" t="s">
        <v>1131</v>
      </c>
      <c r="B135" s="113"/>
      <c r="C135" s="53"/>
      <c r="D135" s="53"/>
      <c r="E135" s="111">
        <f>66.3/3</f>
        <v>22.099999999999998</v>
      </c>
    </row>
    <row r="136" spans="1:5" ht="14.25" customHeight="1" x14ac:dyDescent="0.2">
      <c r="A136" s="112" t="s">
        <v>1132</v>
      </c>
      <c r="B136" s="113"/>
      <c r="C136" s="53"/>
      <c r="D136" s="53"/>
      <c r="E136" s="111">
        <f t="shared" ref="E136:E138" si="3">66.3/3</f>
        <v>22.099999999999998</v>
      </c>
    </row>
    <row r="137" spans="1:5" ht="14.25" customHeight="1" x14ac:dyDescent="0.2">
      <c r="A137" s="112" t="s">
        <v>1133</v>
      </c>
      <c r="B137" s="113"/>
      <c r="C137" s="53"/>
      <c r="D137" s="53"/>
      <c r="E137" s="111">
        <f t="shared" si="3"/>
        <v>22.099999999999998</v>
      </c>
    </row>
    <row r="138" spans="1:5" ht="14.25" customHeight="1" x14ac:dyDescent="0.2">
      <c r="A138" s="112" t="s">
        <v>1134</v>
      </c>
      <c r="B138" s="113"/>
      <c r="C138" s="53"/>
      <c r="D138" s="53"/>
      <c r="E138" s="111">
        <f t="shared" si="3"/>
        <v>22.099999999999998</v>
      </c>
    </row>
    <row r="139" spans="1:5" ht="15" customHeight="1" x14ac:dyDescent="0.2">
      <c r="A139" s="195" t="s">
        <v>1065</v>
      </c>
      <c r="B139" s="195"/>
      <c r="C139" s="195"/>
      <c r="D139" s="188"/>
      <c r="E139" s="54">
        <f>SUM(E126:E138)</f>
        <v>152.26</v>
      </c>
    </row>
    <row r="140" spans="1:5" ht="15" customHeight="1" x14ac:dyDescent="0.2">
      <c r="A140" s="80"/>
      <c r="B140" s="90"/>
      <c r="C140" s="90"/>
      <c r="D140" s="90"/>
      <c r="E140" s="108"/>
    </row>
    <row r="141" spans="1:5" ht="15" customHeight="1" x14ac:dyDescent="0.2">
      <c r="A141" s="195" t="s">
        <v>1121</v>
      </c>
      <c r="B141" s="195"/>
      <c r="C141" s="195"/>
      <c r="D141" s="188"/>
      <c r="E141" s="54">
        <v>0</v>
      </c>
    </row>
    <row r="142" spans="1:5" ht="15" customHeight="1" x14ac:dyDescent="0.2">
      <c r="A142" s="195" t="s">
        <v>1010</v>
      </c>
      <c r="B142" s="195"/>
      <c r="C142" s="195"/>
      <c r="D142" s="188"/>
      <c r="E142" s="54">
        <f>Planilha!D80</f>
        <v>186.68463</v>
      </c>
    </row>
    <row r="143" spans="1:5" ht="15" customHeight="1" x14ac:dyDescent="0.2">
      <c r="A143" s="197" t="s">
        <v>1067</v>
      </c>
      <c r="B143" s="197"/>
      <c r="C143" s="197"/>
      <c r="D143" s="190"/>
      <c r="E143" s="125">
        <f>E139</f>
        <v>152.26</v>
      </c>
    </row>
    <row r="144" spans="1:5" x14ac:dyDescent="0.2">
      <c r="A144" s="34"/>
      <c r="E144" s="36"/>
    </row>
    <row r="145" spans="1:6" s="43" customFormat="1" ht="33.75" customHeight="1" x14ac:dyDescent="0.2">
      <c r="A145" s="78" t="s">
        <v>877</v>
      </c>
      <c r="B145" s="214" t="s">
        <v>878</v>
      </c>
      <c r="C145" s="214"/>
      <c r="D145" s="214"/>
      <c r="E145" s="214"/>
      <c r="F145" s="43" t="s">
        <v>1041</v>
      </c>
    </row>
    <row r="146" spans="1:6" ht="14.25" customHeight="1" x14ac:dyDescent="0.2">
      <c r="A146" s="219" t="s">
        <v>821</v>
      </c>
      <c r="B146" s="220"/>
      <c r="C146" s="220"/>
      <c r="D146" s="72" t="s">
        <v>822</v>
      </c>
      <c r="E146" s="84" t="s">
        <v>968</v>
      </c>
    </row>
    <row r="147" spans="1:6" ht="14.25" customHeight="1" x14ac:dyDescent="0.2">
      <c r="A147" s="227" t="s">
        <v>1111</v>
      </c>
      <c r="B147" s="228"/>
      <c r="C147" s="63"/>
      <c r="D147" s="63">
        <f>316.87-5.74-0.63-0.71-8.67</f>
        <v>301.12</v>
      </c>
      <c r="E147" s="84">
        <f>D147</f>
        <v>301.12</v>
      </c>
    </row>
    <row r="148" spans="1:6" ht="14.25" customHeight="1" x14ac:dyDescent="0.2">
      <c r="A148" s="227" t="s">
        <v>1113</v>
      </c>
      <c r="B148" s="228"/>
      <c r="C148" s="63"/>
      <c r="D148" s="53">
        <f>215.95-5.74-0.63-0.71-10.25</f>
        <v>198.61999999999998</v>
      </c>
      <c r="E148" s="84">
        <f t="shared" ref="E148:E153" si="4">D148</f>
        <v>198.61999999999998</v>
      </c>
    </row>
    <row r="149" spans="1:6" ht="14.25" customHeight="1" x14ac:dyDescent="0.2">
      <c r="A149" s="227" t="s">
        <v>1114</v>
      </c>
      <c r="B149" s="228"/>
      <c r="C149" s="63"/>
      <c r="D149" s="53">
        <f>153.84-5.74-0.71-0.63</f>
        <v>146.76</v>
      </c>
      <c r="E149" s="84">
        <f>D149</f>
        <v>146.76</v>
      </c>
    </row>
    <row r="150" spans="1:6" ht="14.25" customHeight="1" x14ac:dyDescent="0.2">
      <c r="A150" s="227" t="s">
        <v>1115</v>
      </c>
      <c r="B150" s="228"/>
      <c r="C150" s="63"/>
      <c r="D150" s="53">
        <f>133.07-5.74-0.63-0.71</f>
        <v>125.99000000000001</v>
      </c>
      <c r="E150" s="84">
        <f t="shared" si="4"/>
        <v>125.99000000000001</v>
      </c>
    </row>
    <row r="151" spans="1:6" ht="14.25" customHeight="1" x14ac:dyDescent="0.2">
      <c r="A151" s="227" t="s">
        <v>1116</v>
      </c>
      <c r="B151" s="228"/>
      <c r="C151" s="63"/>
      <c r="D151" s="53">
        <f t="shared" ref="D151:D152" si="5">133.07-5.74-0.63-0.71</f>
        <v>125.99000000000001</v>
      </c>
      <c r="E151" s="84">
        <f t="shared" si="4"/>
        <v>125.99000000000001</v>
      </c>
    </row>
    <row r="152" spans="1:6" ht="14.25" customHeight="1" x14ac:dyDescent="0.2">
      <c r="A152" s="227" t="s">
        <v>1117</v>
      </c>
      <c r="B152" s="228"/>
      <c r="C152" s="63"/>
      <c r="D152" s="53">
        <f t="shared" si="5"/>
        <v>125.99000000000001</v>
      </c>
      <c r="E152" s="84">
        <f t="shared" si="4"/>
        <v>125.99000000000001</v>
      </c>
    </row>
    <row r="153" spans="1:6" ht="14.25" customHeight="1" x14ac:dyDescent="0.2">
      <c r="A153" s="227" t="s">
        <v>1216</v>
      </c>
      <c r="B153" s="228"/>
      <c r="C153" s="63"/>
      <c r="D153" s="53">
        <f>137.55-5.74</f>
        <v>131.81</v>
      </c>
      <c r="E153" s="84">
        <f t="shared" si="4"/>
        <v>131.81</v>
      </c>
    </row>
    <row r="154" spans="1:6" ht="14.25" customHeight="1" x14ac:dyDescent="0.2">
      <c r="A154" s="188" t="s">
        <v>1118</v>
      </c>
      <c r="B154" s="189"/>
      <c r="C154" s="189"/>
      <c r="D154" s="189"/>
      <c r="E154" s="84">
        <f>SUM(E147:E153)</f>
        <v>1156.28</v>
      </c>
    </row>
    <row r="155" spans="1:6" ht="14.25" customHeight="1" x14ac:dyDescent="0.2">
      <c r="A155" s="129"/>
      <c r="B155" s="131"/>
      <c r="C155" s="63"/>
      <c r="D155" s="53"/>
      <c r="E155" s="84"/>
    </row>
    <row r="156" spans="1:6" ht="14.25" customHeight="1" x14ac:dyDescent="0.2">
      <c r="A156" s="188" t="s">
        <v>1119</v>
      </c>
      <c r="B156" s="189"/>
      <c r="C156" s="189"/>
      <c r="D156" s="189"/>
      <c r="E156" s="84">
        <v>0</v>
      </c>
    </row>
    <row r="157" spans="1:6" ht="14.25" customHeight="1" x14ac:dyDescent="0.2">
      <c r="A157" s="188" t="s">
        <v>1085</v>
      </c>
      <c r="B157" s="189"/>
      <c r="C157" s="189"/>
      <c r="D157" s="189"/>
      <c r="E157" s="84">
        <v>1444.91</v>
      </c>
    </row>
    <row r="158" spans="1:6" ht="14.25" customHeight="1" x14ac:dyDescent="0.2">
      <c r="A158" s="226" t="s">
        <v>1120</v>
      </c>
      <c r="B158" s="253"/>
      <c r="C158" s="253"/>
      <c r="D158" s="253"/>
      <c r="E158" s="139">
        <f>E154</f>
        <v>1156.28</v>
      </c>
    </row>
    <row r="159" spans="1:6" ht="14.25" customHeight="1" x14ac:dyDescent="0.2">
      <c r="A159" s="254"/>
      <c r="B159" s="255"/>
      <c r="C159" s="134"/>
      <c r="D159" s="134"/>
      <c r="E159" s="135"/>
    </row>
  </sheetData>
  <mergeCells count="96">
    <mergeCell ref="A11:E11"/>
    <mergeCell ref="B13:E13"/>
    <mergeCell ref="B14:E14"/>
    <mergeCell ref="A15:D15"/>
    <mergeCell ref="A16:B16"/>
    <mergeCell ref="A17:D17"/>
    <mergeCell ref="A120:D120"/>
    <mergeCell ref="A116:B116"/>
    <mergeCell ref="A113:B113"/>
    <mergeCell ref="A114:B114"/>
    <mergeCell ref="A115:B115"/>
    <mergeCell ref="A97:C97"/>
    <mergeCell ref="A105:D105"/>
    <mergeCell ref="A33:B33"/>
    <mergeCell ref="A38:C38"/>
    <mergeCell ref="A39:B39"/>
    <mergeCell ref="A40:B40"/>
    <mergeCell ref="A41:B41"/>
    <mergeCell ref="A18:D18"/>
    <mergeCell ref="A19:D19"/>
    <mergeCell ref="A20:B20"/>
    <mergeCell ref="B21:E21"/>
    <mergeCell ref="A22:B22"/>
    <mergeCell ref="A23:B23"/>
    <mergeCell ref="A57:D57"/>
    <mergeCell ref="A42:D42"/>
    <mergeCell ref="A45:D45"/>
    <mergeCell ref="A46:D46"/>
    <mergeCell ref="B48:E48"/>
    <mergeCell ref="A49:B49"/>
    <mergeCell ref="A50:B50"/>
    <mergeCell ref="A51:B51"/>
    <mergeCell ref="A53:D53"/>
    <mergeCell ref="A56:D56"/>
    <mergeCell ref="A87:D87"/>
    <mergeCell ref="A89:D89"/>
    <mergeCell ref="A91:D91"/>
    <mergeCell ref="A90:D90"/>
    <mergeCell ref="B59:E59"/>
    <mergeCell ref="A60:B60"/>
    <mergeCell ref="A61:B61"/>
    <mergeCell ref="A62:B62"/>
    <mergeCell ref="A75:D75"/>
    <mergeCell ref="A78:D78"/>
    <mergeCell ref="A79:D79"/>
    <mergeCell ref="B81:E81"/>
    <mergeCell ref="A82:B82"/>
    <mergeCell ref="A83:C83"/>
    <mergeCell ref="A86:B86"/>
    <mergeCell ref="A84:B84"/>
    <mergeCell ref="B93:E93"/>
    <mergeCell ref="A94:B94"/>
    <mergeCell ref="A102:B102"/>
    <mergeCell ref="A103:D103"/>
    <mergeCell ref="A106:D106"/>
    <mergeCell ref="A95:B95"/>
    <mergeCell ref="A96:B96"/>
    <mergeCell ref="A98:B98"/>
    <mergeCell ref="A99:B99"/>
    <mergeCell ref="A100:B100"/>
    <mergeCell ref="A101:B101"/>
    <mergeCell ref="A107:D107"/>
    <mergeCell ref="A112:B112"/>
    <mergeCell ref="A118:D118"/>
    <mergeCell ref="A121:D121"/>
    <mergeCell ref="A122:D122"/>
    <mergeCell ref="A123:B123"/>
    <mergeCell ref="B109:E109"/>
    <mergeCell ref="A110:C110"/>
    <mergeCell ref="A111:B111"/>
    <mergeCell ref="A141:D141"/>
    <mergeCell ref="B124:E124"/>
    <mergeCell ref="A125:B125"/>
    <mergeCell ref="A139:D139"/>
    <mergeCell ref="A117:B117"/>
    <mergeCell ref="A149:B149"/>
    <mergeCell ref="A158:D158"/>
    <mergeCell ref="A159:B159"/>
    <mergeCell ref="A146:C146"/>
    <mergeCell ref="A154:D154"/>
    <mergeCell ref="A157:D157"/>
    <mergeCell ref="A150:B150"/>
    <mergeCell ref="A151:B151"/>
    <mergeCell ref="A152:B152"/>
    <mergeCell ref="A153:B153"/>
    <mergeCell ref="A156:D156"/>
    <mergeCell ref="A142:D142"/>
    <mergeCell ref="B145:E145"/>
    <mergeCell ref="A147:B147"/>
    <mergeCell ref="A148:B148"/>
    <mergeCell ref="A143:D143"/>
    <mergeCell ref="A34:B34"/>
    <mergeCell ref="A85:B85"/>
    <mergeCell ref="A44:D44"/>
    <mergeCell ref="A55:D55"/>
    <mergeCell ref="A77:D77"/>
  </mergeCells>
  <printOptions horizontalCentered="1"/>
  <pageMargins left="0.51181102362204722" right="0.51181102362204722" top="0.78740157480314965" bottom="0.78740157480314965" header="0.31496062992125984" footer="0.31496062992125984"/>
  <pageSetup paperSize="9" scale="90" orientation="portrait" verticalDpi="360"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EDE7B-3425-4CA8-B456-D9E05FC9C8DC}">
  <dimension ref="A1:E43"/>
  <sheetViews>
    <sheetView view="pageBreakPreview" topLeftCell="A28" zoomScale="90" zoomScaleNormal="95" zoomScaleSheetLayoutView="90" workbookViewId="0">
      <selection activeCell="H31" sqref="H31"/>
    </sheetView>
  </sheetViews>
  <sheetFormatPr defaultRowHeight="12.75" x14ac:dyDescent="0.2"/>
  <cols>
    <col min="1" max="1" width="15.75" style="35" customWidth="1"/>
    <col min="2" max="2" width="15.625" style="35" customWidth="1"/>
    <col min="3" max="3" width="19" style="35" customWidth="1"/>
    <col min="4" max="4" width="17.25" style="35" customWidth="1"/>
    <col min="5" max="5" width="15" style="42" customWidth="1"/>
    <col min="6" max="16384" width="9" style="33"/>
  </cols>
  <sheetData>
    <row r="1" spans="1:5" x14ac:dyDescent="0.2">
      <c r="A1" s="30"/>
      <c r="B1" s="31"/>
      <c r="C1" s="31"/>
      <c r="D1" s="31"/>
      <c r="E1" s="32"/>
    </row>
    <row r="2" spans="1:5" x14ac:dyDescent="0.2">
      <c r="A2" s="34"/>
      <c r="E2" s="36"/>
    </row>
    <row r="3" spans="1:5" x14ac:dyDescent="0.2">
      <c r="A3" s="34"/>
      <c r="E3" s="36"/>
    </row>
    <row r="4" spans="1:5" x14ac:dyDescent="0.2">
      <c r="A4" s="34"/>
      <c r="E4" s="36"/>
    </row>
    <row r="5" spans="1:5" x14ac:dyDescent="0.2">
      <c r="A5" s="37"/>
      <c r="B5" s="38"/>
      <c r="C5" s="39"/>
      <c r="D5" s="39"/>
      <c r="E5" s="40"/>
    </row>
    <row r="6" spans="1:5" x14ac:dyDescent="0.2">
      <c r="A6" s="37" t="s">
        <v>820</v>
      </c>
      <c r="B6" s="38"/>
      <c r="C6" s="39"/>
      <c r="D6" s="39"/>
      <c r="E6" s="40"/>
    </row>
    <row r="7" spans="1:5" x14ac:dyDescent="0.2">
      <c r="A7" s="37" t="s">
        <v>2</v>
      </c>
      <c r="B7" s="38"/>
      <c r="C7" s="39"/>
      <c r="D7" s="39"/>
      <c r="E7" s="40"/>
    </row>
    <row r="8" spans="1:5" x14ac:dyDescent="0.2">
      <c r="A8" s="37" t="s">
        <v>834</v>
      </c>
      <c r="B8" s="38"/>
      <c r="C8" s="39"/>
      <c r="D8" s="39"/>
      <c r="E8" s="40"/>
    </row>
    <row r="9" spans="1:5" x14ac:dyDescent="0.2">
      <c r="A9" s="37"/>
      <c r="B9" s="38"/>
      <c r="C9" s="39"/>
      <c r="D9" s="39"/>
      <c r="E9" s="40"/>
    </row>
    <row r="10" spans="1:5" ht="13.5" thickBot="1" x14ac:dyDescent="0.25">
      <c r="A10" s="41"/>
      <c r="B10" s="42"/>
      <c r="C10" s="42"/>
      <c r="D10" s="42"/>
      <c r="E10" s="36"/>
    </row>
    <row r="11" spans="1:5" s="43" customFormat="1" ht="21" customHeight="1" thickBot="1" x14ac:dyDescent="0.25">
      <c r="A11" s="208" t="s">
        <v>896</v>
      </c>
      <c r="B11" s="209"/>
      <c r="C11" s="209"/>
      <c r="D11" s="209"/>
      <c r="E11" s="210"/>
    </row>
    <row r="12" spans="1:5" x14ac:dyDescent="0.2">
      <c r="A12" s="34"/>
      <c r="E12" s="36"/>
    </row>
    <row r="13" spans="1:5" ht="17.25" customHeight="1" x14ac:dyDescent="0.2">
      <c r="A13" s="44" t="s">
        <v>835</v>
      </c>
      <c r="B13" s="199" t="s">
        <v>133</v>
      </c>
      <c r="C13" s="199"/>
      <c r="D13" s="199"/>
      <c r="E13" s="199"/>
    </row>
    <row r="14" spans="1:5" s="43" customFormat="1" ht="39.75" customHeight="1" x14ac:dyDescent="0.2">
      <c r="A14" s="45" t="s">
        <v>836</v>
      </c>
      <c r="B14" s="198" t="s">
        <v>135</v>
      </c>
      <c r="C14" s="198"/>
      <c r="D14" s="198"/>
      <c r="E14" s="198"/>
    </row>
    <row r="15" spans="1:5" s="50" customFormat="1" ht="14.25" customHeight="1" x14ac:dyDescent="0.2">
      <c r="A15" s="51" t="s">
        <v>821</v>
      </c>
      <c r="B15" s="52" t="s">
        <v>824</v>
      </c>
      <c r="C15" s="52" t="s">
        <v>823</v>
      </c>
      <c r="D15" s="52" t="s">
        <v>842</v>
      </c>
      <c r="E15" s="56" t="s">
        <v>829</v>
      </c>
    </row>
    <row r="16" spans="1:5" s="50" customFormat="1" ht="14.25" customHeight="1" x14ac:dyDescent="0.2">
      <c r="A16" s="221" t="s">
        <v>837</v>
      </c>
      <c r="B16" s="70">
        <f>3.43+1.97+4.5+6.71</f>
        <v>16.61</v>
      </c>
      <c r="C16" s="70">
        <v>3.1</v>
      </c>
      <c r="D16" s="70">
        <f>((1.9*2.1)+(1.08*2.1))-1.5</f>
        <v>4.758</v>
      </c>
      <c r="E16" s="65">
        <f t="shared" ref="E16:E17" si="0">(B16*C16)-D16</f>
        <v>46.732999999999997</v>
      </c>
    </row>
    <row r="17" spans="1:5" s="50" customFormat="1" ht="14.25" customHeight="1" x14ac:dyDescent="0.2">
      <c r="A17" s="259"/>
      <c r="B17" s="70">
        <f>7.05+21.15+4.98+0.9+6+3.65+8.7+10+1.2</f>
        <v>63.629999999999995</v>
      </c>
      <c r="C17" s="70">
        <v>3.5</v>
      </c>
      <c r="D17" s="70">
        <f>((0.96+2.1)+(1.08*2.1)+(0.96*2.1)+(3*0.96*2.1)+(0.96*2.1))-1.5</f>
        <v>13.907999999999999</v>
      </c>
      <c r="E17" s="65">
        <f t="shared" si="0"/>
        <v>208.797</v>
      </c>
    </row>
    <row r="18" spans="1:5" s="50" customFormat="1" ht="15" customHeight="1" x14ac:dyDescent="0.2">
      <c r="A18" s="221" t="s">
        <v>838</v>
      </c>
      <c r="B18" s="70">
        <f>1.65+2.25+1.65+1.35</f>
        <v>6.9</v>
      </c>
      <c r="C18" s="70">
        <v>2.9</v>
      </c>
      <c r="D18" s="70">
        <v>0</v>
      </c>
      <c r="E18" s="65">
        <f>(B18*C18)-D18</f>
        <v>20.010000000000002</v>
      </c>
    </row>
    <row r="19" spans="1:5" s="50" customFormat="1" ht="15" customHeight="1" x14ac:dyDescent="0.2">
      <c r="A19" s="260"/>
      <c r="B19" s="70">
        <f>3.24+3.83+3.3+7.28+8+1.5</f>
        <v>27.150000000000002</v>
      </c>
      <c r="C19" s="70">
        <v>3.5</v>
      </c>
      <c r="D19" s="70">
        <f>((3*0.96*2.1)+(0.96*2.1))-1.5</f>
        <v>6.5640000000000001</v>
      </c>
      <c r="E19" s="65">
        <f t="shared" ref="E19:E23" si="1">(B19*C19)-D19</f>
        <v>88.461000000000013</v>
      </c>
    </row>
    <row r="20" spans="1:5" s="50" customFormat="1" ht="15" customHeight="1" x14ac:dyDescent="0.2">
      <c r="A20" s="259"/>
      <c r="B20" s="70">
        <f>3.9+4.1+1.22+1.5+2</f>
        <v>12.72</v>
      </c>
      <c r="C20" s="70">
        <v>3.1</v>
      </c>
      <c r="D20" s="70">
        <f>((0.8*2.7)+(1.8*2.1))-1.5</f>
        <v>4.4400000000000004</v>
      </c>
      <c r="E20" s="65">
        <f t="shared" si="1"/>
        <v>34.992000000000004</v>
      </c>
    </row>
    <row r="21" spans="1:5" s="50" customFormat="1" ht="15" customHeight="1" x14ac:dyDescent="0.2">
      <c r="A21" s="138" t="s">
        <v>1139</v>
      </c>
      <c r="B21" s="70">
        <v>6.6</v>
      </c>
      <c r="C21" s="70">
        <v>0.4</v>
      </c>
      <c r="D21" s="70">
        <v>0</v>
      </c>
      <c r="E21" s="65">
        <f t="shared" si="1"/>
        <v>2.64</v>
      </c>
    </row>
    <row r="22" spans="1:5" s="50" customFormat="1" ht="15" customHeight="1" x14ac:dyDescent="0.2">
      <c r="A22" s="221" t="s">
        <v>1144</v>
      </c>
      <c r="B22" s="70">
        <f>11.04+4.24+3.9+2.69+8.11</f>
        <v>29.98</v>
      </c>
      <c r="C22" s="70">
        <v>2.5</v>
      </c>
      <c r="D22" s="70">
        <f>(2*1.5*0.5)-1.5</f>
        <v>0</v>
      </c>
      <c r="E22" s="65">
        <f t="shared" si="1"/>
        <v>74.95</v>
      </c>
    </row>
    <row r="23" spans="1:5" s="50" customFormat="1" ht="15" customHeight="1" x14ac:dyDescent="0.2">
      <c r="A23" s="260"/>
      <c r="B23" s="70">
        <f>2.15+2.15+8.11</f>
        <v>12.41</v>
      </c>
      <c r="C23" s="70">
        <v>2.7</v>
      </c>
      <c r="D23" s="70">
        <v>0</v>
      </c>
      <c r="E23" s="65">
        <f t="shared" si="1"/>
        <v>33.507000000000005</v>
      </c>
    </row>
    <row r="24" spans="1:5" s="50" customFormat="1" ht="15" customHeight="1" x14ac:dyDescent="0.2">
      <c r="A24" s="259"/>
      <c r="B24" s="70">
        <f>3+7.14+1.8+2.1+1.8</f>
        <v>15.840000000000002</v>
      </c>
      <c r="C24" s="70">
        <v>3.1</v>
      </c>
      <c r="D24" s="70">
        <f>((0.96*2.1)+(0.96*2.1)+(0.96*2.1))-1.5</f>
        <v>4.548</v>
      </c>
      <c r="E24" s="65">
        <f t="shared" ref="E24:E26" si="2">(B24*C24)-D24</f>
        <v>44.556000000000004</v>
      </c>
    </row>
    <row r="25" spans="1:5" s="50" customFormat="1" ht="15" customHeight="1" x14ac:dyDescent="0.2">
      <c r="A25" s="221" t="s">
        <v>1145</v>
      </c>
      <c r="B25" s="70"/>
      <c r="C25" s="70"/>
      <c r="D25" s="70"/>
      <c r="E25" s="65">
        <f t="shared" si="2"/>
        <v>0</v>
      </c>
    </row>
    <row r="26" spans="1:5" s="50" customFormat="1" ht="15" customHeight="1" x14ac:dyDescent="0.2">
      <c r="A26" s="260"/>
      <c r="B26" s="70"/>
      <c r="C26" s="70"/>
      <c r="D26" s="70"/>
      <c r="E26" s="65">
        <f t="shared" si="2"/>
        <v>0</v>
      </c>
    </row>
    <row r="27" spans="1:5" s="50" customFormat="1" ht="15" customHeight="1" x14ac:dyDescent="0.2">
      <c r="A27" s="259"/>
      <c r="B27" s="70">
        <f>2.35+8.1+2.35</f>
        <v>12.799999999999999</v>
      </c>
      <c r="C27" s="70">
        <v>1</v>
      </c>
      <c r="D27" s="70">
        <v>0</v>
      </c>
      <c r="E27" s="65">
        <f t="shared" ref="E27:E29" si="3">(B27*C27)-D27</f>
        <v>12.799999999999999</v>
      </c>
    </row>
    <row r="28" spans="1:5" s="50" customFormat="1" ht="15" customHeight="1" x14ac:dyDescent="0.2">
      <c r="A28" s="261" t="s">
        <v>1146</v>
      </c>
      <c r="B28" s="70">
        <f>1.71+2.1+8.1+3.9</f>
        <v>15.81</v>
      </c>
      <c r="C28" s="70">
        <v>2.5</v>
      </c>
      <c r="D28" s="70">
        <f>(6*1.1)-1.5</f>
        <v>5.1000000000000005</v>
      </c>
      <c r="E28" s="65">
        <f t="shared" si="3"/>
        <v>34.424999999999997</v>
      </c>
    </row>
    <row r="29" spans="1:5" s="50" customFormat="1" ht="15" customHeight="1" x14ac:dyDescent="0.2">
      <c r="A29" s="262"/>
      <c r="B29" s="70">
        <f>10.93</f>
        <v>10.93</v>
      </c>
      <c r="C29" s="70">
        <v>2.7</v>
      </c>
      <c r="D29" s="70">
        <f>(3*1*0.5)</f>
        <v>1.5</v>
      </c>
      <c r="E29" s="65">
        <f t="shared" si="3"/>
        <v>28.011000000000003</v>
      </c>
    </row>
    <row r="30" spans="1:5" s="50" customFormat="1" ht="15" customHeight="1" x14ac:dyDescent="0.2">
      <c r="A30" s="263"/>
      <c r="B30" s="70">
        <f>5.08+3.1+2.03+2.1+2.1+8.1+2.7</f>
        <v>25.209999999999997</v>
      </c>
      <c r="C30" s="70">
        <v>3.1</v>
      </c>
      <c r="D30" s="70">
        <f>((3*0.96*2.1)+(0.96*2.1)+(0.96*2.1))-1.5</f>
        <v>8.58</v>
      </c>
      <c r="E30" s="65">
        <f t="shared" ref="E30:E31" si="4">(B30*C30)-D30</f>
        <v>69.570999999999998</v>
      </c>
    </row>
    <row r="31" spans="1:5" s="50" customFormat="1" ht="15" customHeight="1" x14ac:dyDescent="0.2">
      <c r="A31" s="142"/>
      <c r="B31" s="70">
        <f>2.35+8.1+2.35</f>
        <v>12.799999999999999</v>
      </c>
      <c r="C31" s="70">
        <v>1</v>
      </c>
      <c r="D31" s="70">
        <v>0</v>
      </c>
      <c r="E31" s="65">
        <f t="shared" si="4"/>
        <v>12.799999999999999</v>
      </c>
    </row>
    <row r="32" spans="1:5" s="67" customFormat="1" ht="16.5" customHeight="1" x14ac:dyDescent="0.2">
      <c r="A32" s="264" t="s">
        <v>839</v>
      </c>
      <c r="B32" s="265"/>
      <c r="C32" s="265"/>
      <c r="D32" s="265"/>
      <c r="E32" s="141">
        <f>SUM(E16:E31)</f>
        <v>712.25299999999993</v>
      </c>
    </row>
    <row r="33" spans="1:5" s="43" customFormat="1" ht="14.25" customHeight="1" x14ac:dyDescent="0.2">
      <c r="A33" s="264" t="s">
        <v>1141</v>
      </c>
      <c r="B33" s="265"/>
      <c r="C33" s="265"/>
      <c r="D33" s="265"/>
      <c r="E33" s="68">
        <v>349.36</v>
      </c>
    </row>
    <row r="34" spans="1:5" s="43" customFormat="1" ht="16.5" customHeight="1" x14ac:dyDescent="0.2">
      <c r="A34" s="266" t="s">
        <v>1142</v>
      </c>
      <c r="B34" s="267"/>
      <c r="C34" s="267"/>
      <c r="D34" s="267"/>
      <c r="E34" s="69">
        <f>E32-E33</f>
        <v>362.89299999999992</v>
      </c>
    </row>
    <row r="35" spans="1:5" ht="14.25" customHeight="1" x14ac:dyDescent="0.2">
      <c r="A35" s="200"/>
      <c r="B35" s="201"/>
      <c r="C35" s="63"/>
      <c r="D35" s="63"/>
      <c r="E35" s="53"/>
    </row>
    <row r="36" spans="1:5" s="43" customFormat="1" ht="39.75" customHeight="1" x14ac:dyDescent="0.2">
      <c r="A36" s="45" t="s">
        <v>1140</v>
      </c>
      <c r="B36" s="198" t="s">
        <v>141</v>
      </c>
      <c r="C36" s="198"/>
      <c r="D36" s="198"/>
      <c r="E36" s="198"/>
    </row>
    <row r="37" spans="1:5" s="50" customFormat="1" ht="14.25" customHeight="1" x14ac:dyDescent="0.2">
      <c r="A37" s="51" t="s">
        <v>821</v>
      </c>
      <c r="B37" s="52" t="s">
        <v>824</v>
      </c>
      <c r="C37" s="52" t="s">
        <v>823</v>
      </c>
      <c r="D37" s="52" t="s">
        <v>842</v>
      </c>
      <c r="E37" s="56" t="s">
        <v>829</v>
      </c>
    </row>
    <row r="38" spans="1:5" s="50" customFormat="1" ht="14.25" customHeight="1" x14ac:dyDescent="0.2">
      <c r="A38" s="66" t="s">
        <v>837</v>
      </c>
      <c r="B38" s="70">
        <f>23.95+8.8+23.95</f>
        <v>56.7</v>
      </c>
      <c r="C38" s="70">
        <v>0.95</v>
      </c>
      <c r="D38" s="70">
        <v>0</v>
      </c>
      <c r="E38" s="65">
        <f t="shared" ref="E38:E39" si="5">(B38*C38)-D38</f>
        <v>53.865000000000002</v>
      </c>
    </row>
    <row r="39" spans="1:5" s="50" customFormat="1" ht="14.25" customHeight="1" x14ac:dyDescent="0.2">
      <c r="A39" s="66" t="s">
        <v>1143</v>
      </c>
      <c r="B39" s="70">
        <v>125</v>
      </c>
      <c r="C39" s="70">
        <v>0.2</v>
      </c>
      <c r="D39" s="70">
        <v>0</v>
      </c>
      <c r="E39" s="65">
        <f t="shared" si="5"/>
        <v>25</v>
      </c>
    </row>
    <row r="40" spans="1:5" s="67" customFormat="1" ht="16.5" customHeight="1" x14ac:dyDescent="0.2">
      <c r="A40" s="264" t="s">
        <v>839</v>
      </c>
      <c r="B40" s="265"/>
      <c r="C40" s="265"/>
      <c r="D40" s="265"/>
      <c r="E40" s="141">
        <f>SUM(E38:E39)</f>
        <v>78.865000000000009</v>
      </c>
    </row>
    <row r="41" spans="1:5" s="43" customFormat="1" ht="14.25" customHeight="1" x14ac:dyDescent="0.2">
      <c r="A41" s="264" t="s">
        <v>1141</v>
      </c>
      <c r="B41" s="265"/>
      <c r="C41" s="265"/>
      <c r="D41" s="265"/>
      <c r="E41" s="68">
        <v>0</v>
      </c>
    </row>
    <row r="42" spans="1:5" s="43" customFormat="1" ht="16.5" customHeight="1" x14ac:dyDescent="0.2">
      <c r="A42" s="266" t="s">
        <v>1142</v>
      </c>
      <c r="B42" s="267"/>
      <c r="C42" s="267"/>
      <c r="D42" s="267"/>
      <c r="E42" s="69">
        <f>E40</f>
        <v>78.865000000000009</v>
      </c>
    </row>
    <row r="43" spans="1:5" ht="14.25" customHeight="1" x14ac:dyDescent="0.2">
      <c r="A43" s="200"/>
      <c r="B43" s="201"/>
      <c r="C43" s="63"/>
      <c r="D43" s="63"/>
      <c r="E43" s="53"/>
    </row>
  </sheetData>
  <mergeCells count="17">
    <mergeCell ref="A11:E11"/>
    <mergeCell ref="B13:E13"/>
    <mergeCell ref="B14:E14"/>
    <mergeCell ref="A32:D32"/>
    <mergeCell ref="A33:D33"/>
    <mergeCell ref="A43:B43"/>
    <mergeCell ref="A16:A17"/>
    <mergeCell ref="A22:A24"/>
    <mergeCell ref="A25:A27"/>
    <mergeCell ref="A28:A30"/>
    <mergeCell ref="B36:E36"/>
    <mergeCell ref="A40:D40"/>
    <mergeCell ref="A41:D41"/>
    <mergeCell ref="A42:D42"/>
    <mergeCell ref="A34:D34"/>
    <mergeCell ref="A35:B35"/>
    <mergeCell ref="A18:A20"/>
  </mergeCells>
  <pageMargins left="0.51181102362204722" right="0.51181102362204722" top="0.78740157480314965" bottom="0.78740157480314965" header="0.31496062992125984" footer="0.31496062992125984"/>
  <pageSetup paperSize="9" scale="90" orientation="portrait" horizontalDpi="360" verticalDpi="360"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F4480-BBC9-49C6-93F4-541179480F49}">
  <sheetPr>
    <tabColor rgb="FFFFC000"/>
  </sheetPr>
  <dimension ref="A1:F56"/>
  <sheetViews>
    <sheetView view="pageBreakPreview" topLeftCell="A37" zoomScale="90" zoomScaleNormal="95" zoomScaleSheetLayoutView="90" workbookViewId="0">
      <selection activeCell="E39" sqref="E39"/>
    </sheetView>
  </sheetViews>
  <sheetFormatPr defaultColWidth="9" defaultRowHeight="12.75" x14ac:dyDescent="0.2"/>
  <cols>
    <col min="1" max="1" width="14.625" style="35" customWidth="1"/>
    <col min="2" max="2" width="15.625" style="35" customWidth="1"/>
    <col min="3" max="3" width="21.75" style="35" customWidth="1"/>
    <col min="4" max="4" width="20.625" style="35" customWidth="1"/>
    <col min="5" max="5" width="12.625" style="42" customWidth="1"/>
    <col min="6" max="16384" width="9" style="33"/>
  </cols>
  <sheetData>
    <row r="1" spans="1:6" x14ac:dyDescent="0.2">
      <c r="A1" s="30"/>
      <c r="B1" s="31"/>
      <c r="C1" s="31"/>
      <c r="D1" s="31"/>
      <c r="E1" s="32"/>
    </row>
    <row r="2" spans="1:6" x14ac:dyDescent="0.2">
      <c r="A2" s="34"/>
      <c r="E2" s="36"/>
    </row>
    <row r="3" spans="1:6" x14ac:dyDescent="0.2">
      <c r="A3" s="34"/>
      <c r="E3" s="36"/>
    </row>
    <row r="4" spans="1:6" x14ac:dyDescent="0.2">
      <c r="A4" s="34"/>
      <c r="E4" s="36"/>
    </row>
    <row r="5" spans="1:6" x14ac:dyDescent="0.2">
      <c r="A5" s="38"/>
      <c r="B5" s="38"/>
      <c r="C5" s="39"/>
      <c r="D5" s="39"/>
      <c r="E5" s="76"/>
    </row>
    <row r="6" spans="1:6" x14ac:dyDescent="0.2">
      <c r="A6" s="38" t="s">
        <v>820</v>
      </c>
      <c r="B6" s="38"/>
      <c r="C6" s="39"/>
      <c r="D6" s="39"/>
      <c r="E6" s="76"/>
    </row>
    <row r="7" spans="1:6" x14ac:dyDescent="0.2">
      <c r="A7" s="38" t="s">
        <v>2</v>
      </c>
      <c r="B7" s="38"/>
      <c r="C7" s="39"/>
      <c r="D7" s="39"/>
      <c r="E7" s="76"/>
    </row>
    <row r="8" spans="1:6" x14ac:dyDescent="0.2">
      <c r="A8" s="38" t="s">
        <v>8</v>
      </c>
      <c r="B8" s="38"/>
      <c r="C8" s="39"/>
      <c r="D8" s="39"/>
      <c r="E8" s="76"/>
    </row>
    <row r="9" spans="1:6" x14ac:dyDescent="0.2">
      <c r="A9" s="37" t="s">
        <v>1150</v>
      </c>
      <c r="B9" s="38"/>
      <c r="C9" s="39"/>
      <c r="D9" s="39"/>
      <c r="E9" s="76"/>
    </row>
    <row r="10" spans="1:6" ht="13.5" thickBot="1" x14ac:dyDescent="0.25">
      <c r="A10" s="77"/>
      <c r="B10" s="77"/>
      <c r="C10" s="77"/>
      <c r="D10" s="77"/>
      <c r="E10" s="77"/>
    </row>
    <row r="11" spans="1:6" s="43" customFormat="1" ht="21" customHeight="1" thickBot="1" x14ac:dyDescent="0.25">
      <c r="A11" s="208" t="s">
        <v>896</v>
      </c>
      <c r="B11" s="209"/>
      <c r="C11" s="209"/>
      <c r="D11" s="209"/>
      <c r="E11" s="210"/>
    </row>
    <row r="12" spans="1:6" x14ac:dyDescent="0.2">
      <c r="A12" s="34"/>
      <c r="E12" s="36"/>
    </row>
    <row r="13" spans="1:6" ht="17.25" customHeight="1" x14ac:dyDescent="0.2">
      <c r="A13" s="44" t="s">
        <v>1095</v>
      </c>
      <c r="B13" s="199" t="s">
        <v>729</v>
      </c>
      <c r="C13" s="199"/>
      <c r="D13" s="199"/>
      <c r="E13" s="199"/>
    </row>
    <row r="14" spans="1:6" ht="4.5" customHeight="1" x14ac:dyDescent="0.2">
      <c r="A14" s="81"/>
      <c r="B14" s="82"/>
      <c r="C14" s="82"/>
      <c r="E14" s="83"/>
    </row>
    <row r="15" spans="1:6" ht="17.25" customHeight="1" x14ac:dyDescent="0.2">
      <c r="A15" s="44" t="s">
        <v>1096</v>
      </c>
      <c r="B15" s="199" t="s">
        <v>731</v>
      </c>
      <c r="C15" s="199"/>
      <c r="D15" s="199"/>
      <c r="E15" s="199"/>
    </row>
    <row r="16" spans="1:6" s="43" customFormat="1" ht="21" customHeight="1" x14ac:dyDescent="0.2">
      <c r="A16" s="78" t="s">
        <v>1097</v>
      </c>
      <c r="B16" s="214" t="s">
        <v>1098</v>
      </c>
      <c r="C16" s="214"/>
      <c r="D16" s="214"/>
      <c r="E16" s="214"/>
      <c r="F16" s="43" t="s">
        <v>1041</v>
      </c>
    </row>
    <row r="17" spans="1:6" s="43" customFormat="1" ht="15.75" customHeight="1" x14ac:dyDescent="0.2">
      <c r="A17" s="268" t="s">
        <v>1149</v>
      </c>
      <c r="B17" s="269"/>
      <c r="C17" s="269"/>
      <c r="D17" s="269"/>
      <c r="E17" s="146">
        <f>(8*1.2*24)+(9.95*8*1.2)+(6*1.2*24)</f>
        <v>498.71999999999991</v>
      </c>
    </row>
    <row r="18" spans="1:6" ht="14.25" customHeight="1" x14ac:dyDescent="0.2">
      <c r="A18" s="188" t="s">
        <v>1148</v>
      </c>
      <c r="B18" s="189"/>
      <c r="C18" s="189"/>
      <c r="D18" s="189"/>
      <c r="E18" s="84">
        <f>(6.6*1.2*8)</f>
        <v>63.359999999999992</v>
      </c>
    </row>
    <row r="19" spans="1:6" ht="14.25" customHeight="1" x14ac:dyDescent="0.2">
      <c r="A19" s="188" t="s">
        <v>1154</v>
      </c>
      <c r="B19" s="189"/>
      <c r="C19" s="189"/>
      <c r="D19" s="189"/>
      <c r="E19" s="84">
        <f>240</f>
        <v>240</v>
      </c>
    </row>
    <row r="20" spans="1:6" ht="14.25" customHeight="1" x14ac:dyDescent="0.2">
      <c r="A20" s="188" t="s">
        <v>1151</v>
      </c>
      <c r="B20" s="189"/>
      <c r="C20" s="189"/>
      <c r="D20" s="189"/>
      <c r="E20" s="84">
        <f>(E17+E18)*E19</f>
        <v>134899.19999999998</v>
      </c>
    </row>
    <row r="21" spans="1:6" ht="14.25" customHeight="1" x14ac:dyDescent="0.2">
      <c r="A21" s="71"/>
      <c r="B21" s="85"/>
      <c r="C21" s="85"/>
      <c r="D21" s="85"/>
      <c r="E21" s="84"/>
    </row>
    <row r="22" spans="1:6" ht="14.25" customHeight="1" x14ac:dyDescent="0.2">
      <c r="A22" s="188" t="s">
        <v>1152</v>
      </c>
      <c r="B22" s="189"/>
      <c r="C22" s="189"/>
      <c r="D22" s="189"/>
      <c r="E22" s="84">
        <v>0</v>
      </c>
    </row>
    <row r="23" spans="1:6" ht="14.25" customHeight="1" x14ac:dyDescent="0.2">
      <c r="A23" s="188" t="s">
        <v>1099</v>
      </c>
      <c r="B23" s="189"/>
      <c r="C23" s="189"/>
      <c r="D23" s="189"/>
      <c r="E23" s="84">
        <v>134899.20000000001</v>
      </c>
    </row>
    <row r="24" spans="1:6" ht="14.25" customHeight="1" x14ac:dyDescent="0.2">
      <c r="A24" s="190" t="s">
        <v>1153</v>
      </c>
      <c r="B24" s="191"/>
      <c r="C24" s="191"/>
      <c r="D24" s="191"/>
      <c r="E24" s="86">
        <f>E20</f>
        <v>134899.19999999998</v>
      </c>
    </row>
    <row r="25" spans="1:6" x14ac:dyDescent="0.2">
      <c r="A25" s="81"/>
      <c r="B25" s="82"/>
      <c r="C25" s="82"/>
      <c r="E25" s="83"/>
    </row>
    <row r="26" spans="1:6" ht="17.25" customHeight="1" x14ac:dyDescent="0.2">
      <c r="A26" s="44" t="s">
        <v>1100</v>
      </c>
      <c r="B26" s="199" t="s">
        <v>756</v>
      </c>
      <c r="C26" s="199"/>
      <c r="D26" s="199"/>
      <c r="E26" s="199"/>
    </row>
    <row r="27" spans="1:6" s="43" customFormat="1" ht="26.25" customHeight="1" x14ac:dyDescent="0.2">
      <c r="A27" s="78" t="s">
        <v>1101</v>
      </c>
      <c r="B27" s="214" t="s">
        <v>874</v>
      </c>
      <c r="C27" s="214"/>
      <c r="D27" s="214"/>
      <c r="E27" s="214"/>
      <c r="F27" s="43" t="s">
        <v>1041</v>
      </c>
    </row>
    <row r="28" spans="1:6" ht="14.25" customHeight="1" x14ac:dyDescent="0.2">
      <c r="A28" s="219" t="s">
        <v>821</v>
      </c>
      <c r="B28" s="220"/>
      <c r="C28" s="72"/>
      <c r="D28" s="72" t="s">
        <v>822</v>
      </c>
      <c r="E28" s="84" t="s">
        <v>968</v>
      </c>
    </row>
    <row r="29" spans="1:6" ht="14.25" customHeight="1" x14ac:dyDescent="0.2">
      <c r="A29" s="145" t="s">
        <v>1159</v>
      </c>
      <c r="B29" s="63"/>
      <c r="C29" s="63"/>
      <c r="D29" s="63">
        <f>224.01-14.59</f>
        <v>209.42</v>
      </c>
      <c r="E29" s="84">
        <f>D29</f>
        <v>209.42</v>
      </c>
    </row>
    <row r="30" spans="1:6" ht="14.25" customHeight="1" x14ac:dyDescent="0.2">
      <c r="A30" s="227" t="s">
        <v>1155</v>
      </c>
      <c r="B30" s="228"/>
      <c r="C30" s="228"/>
      <c r="D30" s="63">
        <f>238.73-2.67</f>
        <v>236.06</v>
      </c>
      <c r="E30" s="84">
        <f>D30</f>
        <v>236.06</v>
      </c>
    </row>
    <row r="31" spans="1:6" ht="14.25" customHeight="1" x14ac:dyDescent="0.2">
      <c r="A31" s="188" t="s">
        <v>1156</v>
      </c>
      <c r="B31" s="189"/>
      <c r="C31" s="189"/>
      <c r="D31" s="189"/>
      <c r="E31" s="84">
        <f>SUM(E29:E30)</f>
        <v>445.48</v>
      </c>
    </row>
    <row r="32" spans="1:6" ht="14.25" customHeight="1" x14ac:dyDescent="0.2">
      <c r="A32" s="71"/>
      <c r="B32" s="85"/>
      <c r="C32" s="85"/>
      <c r="D32" s="85"/>
      <c r="E32" s="84"/>
    </row>
    <row r="33" spans="1:6" ht="14.25" customHeight="1" x14ac:dyDescent="0.2">
      <c r="A33" s="188" t="s">
        <v>1157</v>
      </c>
      <c r="B33" s="189"/>
      <c r="C33" s="189"/>
      <c r="D33" s="189"/>
      <c r="E33" s="84">
        <v>0</v>
      </c>
    </row>
    <row r="34" spans="1:6" ht="14.25" customHeight="1" x14ac:dyDescent="0.2">
      <c r="A34" s="188" t="s">
        <v>1102</v>
      </c>
      <c r="B34" s="189"/>
      <c r="C34" s="189"/>
      <c r="D34" s="189"/>
      <c r="E34" s="84">
        <v>445.48</v>
      </c>
    </row>
    <row r="35" spans="1:6" ht="14.25" customHeight="1" x14ac:dyDescent="0.2">
      <c r="A35" s="190" t="s">
        <v>1158</v>
      </c>
      <c r="B35" s="191"/>
      <c r="C35" s="191"/>
      <c r="D35" s="191"/>
      <c r="E35" s="86">
        <f>E31</f>
        <v>445.48</v>
      </c>
    </row>
    <row r="36" spans="1:6" x14ac:dyDescent="0.2">
      <c r="A36" s="34"/>
      <c r="E36" s="36"/>
    </row>
    <row r="37" spans="1:6" s="43" customFormat="1" ht="39.75" customHeight="1" x14ac:dyDescent="0.2">
      <c r="A37" s="78" t="s">
        <v>1103</v>
      </c>
      <c r="B37" s="214" t="s">
        <v>876</v>
      </c>
      <c r="C37" s="214"/>
      <c r="D37" s="214"/>
      <c r="E37" s="214"/>
      <c r="F37" s="43" t="s">
        <v>1041</v>
      </c>
    </row>
    <row r="38" spans="1:6" s="50" customFormat="1" ht="14.25" customHeight="1" x14ac:dyDescent="0.2">
      <c r="A38" s="219" t="s">
        <v>821</v>
      </c>
      <c r="B38" s="220"/>
      <c r="C38" s="52"/>
      <c r="D38" s="52"/>
      <c r="E38" s="111" t="s">
        <v>943</v>
      </c>
    </row>
    <row r="39" spans="1:6" ht="14.25" customHeight="1" x14ac:dyDescent="0.2">
      <c r="A39" s="145" t="s">
        <v>1159</v>
      </c>
      <c r="B39" s="63"/>
      <c r="C39" s="63"/>
      <c r="D39" s="53"/>
      <c r="E39" s="111">
        <v>22.9</v>
      </c>
    </row>
    <row r="40" spans="1:6" ht="14.25" customHeight="1" x14ac:dyDescent="0.2">
      <c r="A40" s="227" t="s">
        <v>1155</v>
      </c>
      <c r="B40" s="228"/>
      <c r="C40" s="228"/>
      <c r="D40" s="53"/>
      <c r="E40" s="111">
        <v>22.9</v>
      </c>
    </row>
    <row r="41" spans="1:6" ht="15" customHeight="1" x14ac:dyDescent="0.2">
      <c r="A41" s="195" t="s">
        <v>1065</v>
      </c>
      <c r="B41" s="195"/>
      <c r="C41" s="195"/>
      <c r="D41" s="188"/>
      <c r="E41" s="54">
        <f>SUM(E39:E40)</f>
        <v>45.8</v>
      </c>
    </row>
    <row r="42" spans="1:6" ht="15" customHeight="1" x14ac:dyDescent="0.2">
      <c r="A42" s="71"/>
      <c r="B42" s="85"/>
      <c r="C42" s="85"/>
      <c r="D42" s="85"/>
      <c r="E42" s="54"/>
    </row>
    <row r="43" spans="1:6" ht="15" customHeight="1" x14ac:dyDescent="0.2">
      <c r="A43" s="195" t="s">
        <v>1121</v>
      </c>
      <c r="B43" s="195"/>
      <c r="C43" s="195"/>
      <c r="D43" s="188"/>
      <c r="E43" s="54">
        <v>0</v>
      </c>
    </row>
    <row r="44" spans="1:6" ht="15" customHeight="1" x14ac:dyDescent="0.2">
      <c r="A44" s="195" t="s">
        <v>1010</v>
      </c>
      <c r="B44" s="195"/>
      <c r="C44" s="195"/>
      <c r="D44" s="188"/>
      <c r="E44" s="54">
        <v>45.8</v>
      </c>
    </row>
    <row r="45" spans="1:6" ht="15" customHeight="1" x14ac:dyDescent="0.2">
      <c r="A45" s="197" t="s">
        <v>1067</v>
      </c>
      <c r="B45" s="197"/>
      <c r="C45" s="197"/>
      <c r="D45" s="190"/>
      <c r="E45" s="125">
        <f>E41</f>
        <v>45.8</v>
      </c>
    </row>
    <row r="46" spans="1:6" x14ac:dyDescent="0.2">
      <c r="A46" s="34"/>
      <c r="E46" s="36"/>
    </row>
    <row r="47" spans="1:6" s="43" customFormat="1" ht="33.75" customHeight="1" x14ac:dyDescent="0.2">
      <c r="A47" s="78" t="s">
        <v>1104</v>
      </c>
      <c r="B47" s="214" t="s">
        <v>878</v>
      </c>
      <c r="C47" s="214"/>
      <c r="D47" s="214"/>
      <c r="E47" s="214"/>
      <c r="F47" s="43" t="s">
        <v>1041</v>
      </c>
    </row>
    <row r="48" spans="1:6" ht="14.25" customHeight="1" x14ac:dyDescent="0.2">
      <c r="A48" s="219" t="s">
        <v>821</v>
      </c>
      <c r="B48" s="220"/>
      <c r="C48" s="220"/>
      <c r="D48" s="72" t="s">
        <v>822</v>
      </c>
      <c r="E48" s="84" t="s">
        <v>968</v>
      </c>
    </row>
    <row r="49" spans="1:5" ht="14.25" customHeight="1" x14ac:dyDescent="0.2">
      <c r="A49" s="145" t="s">
        <v>1159</v>
      </c>
      <c r="B49" s="63"/>
      <c r="C49" s="63"/>
      <c r="D49" s="63">
        <f>224.01-14.59</f>
        <v>209.42</v>
      </c>
      <c r="E49" s="84">
        <f>D49</f>
        <v>209.42</v>
      </c>
    </row>
    <row r="50" spans="1:5" ht="14.25" customHeight="1" x14ac:dyDescent="0.2">
      <c r="A50" s="227" t="s">
        <v>1155</v>
      </c>
      <c r="B50" s="228"/>
      <c r="C50" s="228"/>
      <c r="D50" s="63">
        <f>238.73-2.67</f>
        <v>236.06</v>
      </c>
      <c r="E50" s="84">
        <f>D50</f>
        <v>236.06</v>
      </c>
    </row>
    <row r="51" spans="1:5" ht="14.25" customHeight="1" x14ac:dyDescent="0.2">
      <c r="A51" s="200"/>
      <c r="B51" s="201"/>
      <c r="C51" s="63"/>
      <c r="D51" s="63"/>
      <c r="E51" s="84"/>
    </row>
    <row r="52" spans="1:5" ht="14.25" customHeight="1" x14ac:dyDescent="0.2">
      <c r="A52" s="188" t="s">
        <v>1160</v>
      </c>
      <c r="B52" s="189"/>
      <c r="C52" s="189"/>
      <c r="D52" s="189"/>
      <c r="E52" s="84">
        <f>SUM(E49:E50)</f>
        <v>445.48</v>
      </c>
    </row>
    <row r="53" spans="1:5" ht="14.25" customHeight="1" x14ac:dyDescent="0.2">
      <c r="A53" s="71"/>
      <c r="B53" s="85"/>
      <c r="C53" s="85"/>
      <c r="D53" s="85"/>
      <c r="E53" s="84"/>
    </row>
    <row r="54" spans="1:5" ht="14.25" customHeight="1" x14ac:dyDescent="0.2">
      <c r="A54" s="188" t="s">
        <v>1119</v>
      </c>
      <c r="B54" s="189"/>
      <c r="C54" s="189"/>
      <c r="D54" s="189"/>
      <c r="E54" s="84">
        <v>0</v>
      </c>
    </row>
    <row r="55" spans="1:5" ht="14.25" customHeight="1" x14ac:dyDescent="0.2">
      <c r="A55" s="188" t="s">
        <v>1085</v>
      </c>
      <c r="B55" s="189"/>
      <c r="C55" s="189"/>
      <c r="D55" s="189"/>
      <c r="E55" s="84">
        <v>445.48</v>
      </c>
    </row>
    <row r="56" spans="1:5" ht="14.25" customHeight="1" x14ac:dyDescent="0.2">
      <c r="A56" s="226" t="s">
        <v>1120</v>
      </c>
      <c r="B56" s="253"/>
      <c r="C56" s="253"/>
      <c r="D56" s="253"/>
      <c r="E56" s="139">
        <f>E52</f>
        <v>445.48</v>
      </c>
    </row>
  </sheetData>
  <mergeCells count="34">
    <mergeCell ref="A18:D18"/>
    <mergeCell ref="A11:E11"/>
    <mergeCell ref="B13:E13"/>
    <mergeCell ref="B15:E15"/>
    <mergeCell ref="B16:E16"/>
    <mergeCell ref="A17:D17"/>
    <mergeCell ref="B37:E37"/>
    <mergeCell ref="A19:D19"/>
    <mergeCell ref="A20:D20"/>
    <mergeCell ref="A23:D23"/>
    <mergeCell ref="A24:D24"/>
    <mergeCell ref="B26:E26"/>
    <mergeCell ref="B27:E27"/>
    <mergeCell ref="A28:B28"/>
    <mergeCell ref="A22:D22"/>
    <mergeCell ref="A30:C30"/>
    <mergeCell ref="A33:D33"/>
    <mergeCell ref="A31:D31"/>
    <mergeCell ref="A34:D34"/>
    <mergeCell ref="A35:D35"/>
    <mergeCell ref="A56:D56"/>
    <mergeCell ref="A38:B38"/>
    <mergeCell ref="A41:D41"/>
    <mergeCell ref="A44:D44"/>
    <mergeCell ref="A45:D45"/>
    <mergeCell ref="B47:E47"/>
    <mergeCell ref="A48:C48"/>
    <mergeCell ref="A51:B51"/>
    <mergeCell ref="A55:D55"/>
    <mergeCell ref="A54:D54"/>
    <mergeCell ref="A43:D43"/>
    <mergeCell ref="A40:C40"/>
    <mergeCell ref="A50:C50"/>
    <mergeCell ref="A52:D52"/>
  </mergeCells>
  <printOptions horizontalCentered="1"/>
  <pageMargins left="0.51181102362204722" right="0.51181102362204722" top="0.78740157480314965" bottom="0.78740157480314965" header="0.31496062992125984" footer="0.31496062992125984"/>
  <pageSetup paperSize="9" scale="90" orientation="portrait" verticalDpi="360"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9</vt:i4>
      </vt:variant>
    </vt:vector>
  </HeadingPairs>
  <TitlesOfParts>
    <vt:vector size="17" baseType="lpstr">
      <vt:lpstr>Planilha</vt:lpstr>
      <vt:lpstr>RESUMO MEM.</vt:lpstr>
      <vt:lpstr>2.0</vt:lpstr>
      <vt:lpstr>3.0</vt:lpstr>
      <vt:lpstr>4.0</vt:lpstr>
      <vt:lpstr>5.0</vt:lpstr>
      <vt:lpstr>6.0</vt:lpstr>
      <vt:lpstr>24.0</vt:lpstr>
      <vt:lpstr>'2.0'!Area_de_impressao</vt:lpstr>
      <vt:lpstr>'24.0'!Area_de_impressao</vt:lpstr>
      <vt:lpstr>'3.0'!Area_de_impressao</vt:lpstr>
      <vt:lpstr>'4.0'!Area_de_impressao</vt:lpstr>
      <vt:lpstr>'5.0'!Area_de_impressao</vt:lpstr>
      <vt:lpstr>'6.0'!Area_de_impressao</vt:lpstr>
      <vt:lpstr>Planilha!Area_de_impressao</vt:lpstr>
      <vt:lpstr>'RESUMO MEM.'!Area_de_impressao</vt:lpstr>
      <vt:lpstr>Planilha!Titulos_de_impressao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FLY-PC</dc:creator>
  <cp:lastModifiedBy>FLY-PC</cp:lastModifiedBy>
  <cp:lastPrinted>2024-10-01T21:07:51Z</cp:lastPrinted>
  <dcterms:created xsi:type="dcterms:W3CDTF">2024-04-01T18:39:26Z</dcterms:created>
  <dcterms:modified xsi:type="dcterms:W3CDTF">2024-10-02T20:44:09Z</dcterms:modified>
</cp:coreProperties>
</file>